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1382 выполнение работ по оборудованию АКЛ ЕГОЗА\"/>
    </mc:Choice>
  </mc:AlternateContent>
  <bookViews>
    <workbookView xWindow="2910" yWindow="180" windowWidth="24195" windowHeight="15000" firstSheet="1" activeTab="1"/>
  </bookViews>
  <sheets>
    <sheet name="беллатор" sheetId="12" state="hidden" r:id="rId1"/>
    <sheet name="Южный список" sheetId="14" r:id="rId2"/>
    <sheet name="Лист2" sheetId="8" state="hidden" r:id="rId3"/>
    <sheet name="Лист3" sheetId="9" state="hidden" r:id="rId4"/>
    <sheet name="Приложение БДР" sheetId="11" state="hidden" r:id="rId5"/>
    <sheet name="расчет (2)" sheetId="7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GRAPH1" localSheetId="5" hidden="1">'[1]на 1 тут'!#REF!</definedName>
    <definedName name="__123Graph_AGRAPH1" hidden="1">'[1]на 1 тут'!#REF!</definedName>
    <definedName name="__123Graph_AGRAPH2" localSheetId="5" hidden="1">'[1]на 1 тут'!#REF!</definedName>
    <definedName name="__123Graph_AGRAPH2" hidden="1">'[1]на 1 тут'!#REF!</definedName>
    <definedName name="__123Graph_BGRAPH1" localSheetId="5" hidden="1">'[1]на 1 тут'!#REF!</definedName>
    <definedName name="__123Graph_BGRAPH1" hidden="1">'[1]на 1 тут'!#REF!</definedName>
    <definedName name="__123Graph_BGRAPH2" localSheetId="5" hidden="1">'[1]на 1 тут'!#REF!</definedName>
    <definedName name="__123Graph_BGRAPH2" hidden="1">'[1]на 1 тут'!#REF!</definedName>
    <definedName name="__123Graph_CGRAPH1" localSheetId="5" hidden="1">'[1]на 1 тут'!#REF!</definedName>
    <definedName name="__123Graph_CGRAPH1" hidden="1">'[1]на 1 тут'!#REF!</definedName>
    <definedName name="__123Graph_CGRAPH2" localSheetId="5" hidden="1">'[1]на 1 тут'!#REF!</definedName>
    <definedName name="__123Graph_CGRAPH2" hidden="1">'[1]на 1 тут'!#REF!</definedName>
    <definedName name="__123Graph_LBL_AGRAPH1" localSheetId="5" hidden="1">'[1]на 1 тут'!#REF!</definedName>
    <definedName name="__123Graph_LBL_AGRAPH1" hidden="1">'[1]на 1 тут'!#REF!</definedName>
    <definedName name="__123Graph_XGRAPH1" localSheetId="5" hidden="1">'[1]на 1 тут'!#REF!</definedName>
    <definedName name="__123Graph_XGRAPH1" hidden="1">'[1]на 1 тут'!#REF!</definedName>
    <definedName name="__123Graph_XGRAPH2" localSheetId="5" hidden="1">'[1]на 1 тут'!#REF!</definedName>
    <definedName name="__123Graph_XGRAPH2" hidden="1">'[1]на 1 тут'!#REF!</definedName>
    <definedName name="P1_dip" hidden="1">[2]FST5!$G$167:$G$172,[2]FST5!$G$174:$G$175,[2]FST5!$G$177:$G$180,[2]FST5!$G$182,[2]FST5!$G$184:$G$188,[2]FST5!$G$190,[2]FST5!$G$192:$G$194</definedName>
    <definedName name="P1_eso" hidden="1">[3]FST5!$G$167:$G$172,[3]FST5!$G$174:$G$175,[3]FST5!$G$177:$G$180,[3]FST5!$G$182,[3]FST5!$G$184:$G$188,[3]FST5!$G$190,[3]FST5!$G$192:$G$194</definedName>
    <definedName name="P1_ESO_PROT" localSheetId="5" hidden="1">#REF!,#REF!,#REF!,#REF!,#REF!,#REF!,#REF!,#REF!</definedName>
    <definedName name="P1_ESO_PROT" hidden="1">#REF!,#REF!,#REF!,#REF!,#REF!,#REF!,#REF!,#REF!</definedName>
    <definedName name="P1_net" hidden="1">[3]FST5!$G$118:$G$123,[3]FST5!$G$125:$G$126,[3]FST5!$G$128:$G$131,[3]FST5!$G$133,[3]FST5!$G$135:$G$139,[3]FST5!$G$141,[3]FST5!$G$143:$G$145</definedName>
    <definedName name="P1_SBT_PROT" localSheetId="5" hidden="1">#REF!,#REF!,#REF!,#REF!,#REF!,#REF!,#REF!</definedName>
    <definedName name="P1_SBT_PROT" hidden="1">#REF!,#REF!,#REF!,#REF!,#REF!,#REF!,#REF!</definedName>
    <definedName name="P1_SC22" localSheetId="5" hidden="1">#REF!,#REF!,#REF!,#REF!,#REF!,#REF!</definedName>
    <definedName name="P1_SC22" hidden="1">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CORR" localSheetId="5" hidden="1">#REF!,#REF!,#REF!,#REF!,#REF!,#REF!,#REF!</definedName>
    <definedName name="P1_SCOPE_CORR" hidden="1">#REF!,#REF!,#REF!,#REF!,#REF!,#REF!,#REF!</definedName>
    <definedName name="P1_SCOPE_DOP" localSheetId="5" hidden="1">[5]Регионы!#REF!,[5]Регионы!#REF!,[5]Регионы!#REF!,[5]Регионы!#REF!,[5]Регионы!#REF!,[5]Регионы!#REF!</definedName>
    <definedName name="P1_SCOPE_DOP" hidden="1">[5]Регионы!#REF!,[5]Регионы!#REF!,[5]Регионы!#REF!,[5]Регионы!#REF!,[5]Регионы!#REF!,[5]Регионы!#REF!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localSheetId="5" hidden="1">#REF!,#REF!,#REF!,#REF!,#REF!,#REF!</definedName>
    <definedName name="P1_SCOPE_FLOAD" hidden="1">#REF!,#REF!,#REF!,#REF!,#REF!,#REF!</definedName>
    <definedName name="P1_SCOPE_FRML" localSheetId="5" hidden="1">#REF!,#REF!,#REF!,#REF!,#REF!,#REF!</definedName>
    <definedName name="P1_SCOPE_FRML" hidden="1">#REF!,#REF!,#REF!,#REF!,#REF!,#REF!</definedName>
    <definedName name="P1_SCOPE_FST7" localSheetId="5" hidden="1">#REF!,#REF!,#REF!,#REF!,#REF!,#REF!</definedName>
    <definedName name="P1_SCOPE_FST7" hidden="1">#REF!,#REF!,#REF!,#REF!,#REF!,#REF!</definedName>
    <definedName name="P1_SCOPE_FULL_LOAD" localSheetId="5" hidden="1">#REF!,#REF!,#REF!,#REF!,#REF!,#REF!</definedName>
    <definedName name="P1_SCOPE_FULL_LOAD" hidden="1">#REF!,#REF!,#REF!,#REF!,#REF!,#REF!</definedName>
    <definedName name="P1_SCOPE_IND" localSheetId="5" hidden="1">#REF!,#REF!,#REF!,#REF!,#REF!,#REF!</definedName>
    <definedName name="P1_SCOPE_IND" hidden="1">#REF!,#REF!,#REF!,#REF!,#REF!,#REF!</definedName>
    <definedName name="P1_SCOPE_IND2" localSheetId="5" hidden="1">#REF!,#REF!,#REF!,#REF!,#REF!</definedName>
    <definedName name="P1_SCOPE_IND2" hidden="1">#REF!,#REF!,#REF!,#REF!,#REF!</definedName>
    <definedName name="P1_SCOPE_NOTIND" localSheetId="5" hidden="1">#REF!,#REF!,#REF!,#REF!,#REF!,#REF!</definedName>
    <definedName name="P1_SCOPE_NOTIND" hidden="1">#REF!,#REF!,#REF!,#REF!,#REF!,#REF!</definedName>
    <definedName name="P1_SCOPE_NotInd2" localSheetId="5" hidden="1">#REF!,#REF!,#REF!,#REF!,#REF!,#REF!,#REF!</definedName>
    <definedName name="P1_SCOPE_NotInd2" hidden="1">#REF!,#REF!,#REF!,#REF!,#REF!,#REF!,#REF!</definedName>
    <definedName name="P1_SCOPE_NotInd3" localSheetId="5" hidden="1">#REF!,#REF!,#REF!,#REF!,#REF!,#REF!,#REF!</definedName>
    <definedName name="P1_SCOPE_NotInd3" hidden="1">#REF!,#REF!,#REF!,#REF!,#REF!,#REF!,#REF!</definedName>
    <definedName name="P1_SCOPE_NotInt" localSheetId="5" hidden="1">#REF!,#REF!,#REF!,#REF!,#REF!,#REF!</definedName>
    <definedName name="P1_SCOPE_NotInt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SAVE2" localSheetId="5" hidden="1">#REF!,#REF!,#REF!,#REF!,#REF!,#REF!,#REF!</definedName>
    <definedName name="P1_SCOPE_SAVE2" hidden="1">#REF!,#REF!,#REF!,#REF!,#REF!,#REF!,#REF!</definedName>
    <definedName name="P1_SCOPE_SV_LD" localSheetId="5" hidden="1">#REF!,#REF!,#REF!,#REF!,#REF!,#REF!,#REF!</definedName>
    <definedName name="P1_SCOPE_SV_LD" hidden="1">#REF!,#REF!,#REF!,#REF!,#REF!,#REF!,#REF!</definedName>
    <definedName name="P1_SCOPE_SV_LD1" localSheetId="5" hidden="1">#REF!,#REF!,#REF!,#REF!,#REF!,#REF!,#REF!</definedName>
    <definedName name="P1_SCOPE_SV_LD1" hidden="1">#REF!,#REF!,#REF!,#REF!,#REF!,#REF!,#REF!</definedName>
    <definedName name="P1_SCOPE_SV_PRT" localSheetId="5" hidden="1">#REF!,#REF!,#REF!,#REF!,#REF!,#REF!,#REF!</definedName>
    <definedName name="P1_SCOPE_SV_PRT" hidden="1">#REF!,#REF!,#REF!,#REF!,#REF!,#REF!,#REF!</definedName>
    <definedName name="P1_SET_PROT" localSheetId="5" hidden="1">#REF!,#REF!,#REF!,#REF!,#REF!,#REF!,#REF!</definedName>
    <definedName name="P1_SET_PROT" hidden="1">#REF!,#REF!,#REF!,#REF!,#REF!,#REF!,#REF!</definedName>
    <definedName name="P1_SET_PRT" localSheetId="5" hidden="1">#REF!,#REF!,#REF!,#REF!,#REF!,#REF!,#REF!</definedName>
    <definedName name="P1_SET_PRT" hidden="1">#REF!,#REF!,#REF!,#REF!,#REF!,#REF!,#REF!</definedName>
    <definedName name="P1_T1_Protect" localSheetId="5" hidden="1">#REF!,#REF!,#REF!,#REF!,#REF!,#REF!</definedName>
    <definedName name="P1_T1_Protect" hidden="1">#REF!,#REF!,#REF!,#REF!,#REF!,#REF!</definedName>
    <definedName name="P1_T16?axis?R?ДОГОВОР" hidden="1">'[6]16'!$E$76:$M$76,'[6]16'!$E$8:$M$8,'[6]16'!$E$12:$M$12,'[6]16'!$E$52:$M$52,'[6]16'!$E$16:$M$16,'[6]16'!$E$64:$M$64,'[6]16'!$E$84:$M$85,'[6]16'!$E$48:$M$48,'[6]16'!$E$80:$M$80,'[6]16'!$E$72:$M$72,'[6]16'!$E$44:$M$44</definedName>
    <definedName name="P1_T16?axis?R?ДОГОВОР?" hidden="1">'[6]16'!$A$76,'[6]16'!$A$84:$A$85,'[6]16'!$A$72,'[6]16'!$A$80,'[6]16'!$A$68,'[6]16'!$A$64,'[6]16'!$A$60,'[6]16'!$A$56,'[6]16'!$A$52,'[6]16'!$A$48,'[6]16'!$A$44,'[6]16'!$A$40,'[6]16'!$A$36,'[6]16'!$A$32,'[6]16'!$A$28,'[6]16'!$A$24,'[6]16'!$A$20</definedName>
    <definedName name="P1_T16?L1" hidden="1">'[6]16'!$A$74:$M$74,'[6]16'!$A$14:$M$14,'[6]16'!$A$10:$M$10,'[6]16'!$A$50:$M$50,'[6]16'!$A$6:$M$6,'[6]16'!$A$62:$M$62,'[6]16'!$A$78:$M$78,'[6]16'!$A$46:$M$46,'[6]16'!$A$82:$M$82,'[6]16'!$A$70:$M$70,'[6]16'!$A$42:$M$42</definedName>
    <definedName name="P1_T16?L1.x" hidden="1">'[6]16'!$A$76:$M$76,'[6]16'!$A$16:$M$16,'[6]16'!$A$12:$M$12,'[6]16'!$A$52:$M$52,'[6]16'!$A$8:$M$8,'[6]16'!$A$64:$M$64,'[6]16'!$A$80:$M$80,'[6]16'!$A$48:$M$48,'[6]16'!$A$84:$M$85,'[6]16'!$A$72:$M$72,'[6]16'!$A$44:$M$44</definedName>
    <definedName name="P1_T16_Protect" localSheetId="5" hidden="1">#REF!,#REF!,#REF!,#REF!,#REF!,#REF!,#REF!,#REF!</definedName>
    <definedName name="P1_T16_Protect" hidden="1">#REF!,#REF!,#REF!,#REF!,#REF!,#REF!,#REF!,#REF!</definedName>
    <definedName name="P1_T18.2_Protect" localSheetId="5" hidden="1">#REF!,#REF!,#REF!,#REF!,#REF!,#REF!,#REF!</definedName>
    <definedName name="P1_T18.2_Protect" hidden="1">#REF!,#REF!,#REF!,#REF!,#REF!,#REF!,#REF!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4_Protect" hidden="1">'[8]4'!$G$20:$J$20,'[8]4'!$G$22:$J$22,'[8]4'!$G$23:$J$25,'[8]4'!$L$11:$O$17,'[8]4'!$L$20:$O$20,'[8]4'!$L$22:$O$22,'[8]4'!$L$23:$O$25,'[8]4'!$Q$11:$T$17,'[8]4'!$Q$20:$T$20</definedName>
    <definedName name="P1_T6_Protect" localSheetId="5" hidden="1">#REF!,#REF!,#REF!,#REF!,#REF!,#REF!,#REF!,#REF!,#REF!</definedName>
    <definedName name="P1_T6_Protect" hidden="1">#REF!,#REF!,#REF!,#REF!,#REF!,#REF!,#REF!,#REF!,#REF!</definedName>
    <definedName name="P10_SCOPE_FULL_LOAD" localSheetId="5" hidden="1">#REF!,#REF!,#REF!,#REF!,#REF!,#REF!</definedName>
    <definedName name="P10_SCOPE_FULL_LOAD" hidden="1">#REF!,#REF!,#REF!,#REF!,#REF!,#REF!</definedName>
    <definedName name="P10_T1_Protect" localSheetId="5" hidden="1">#REF!,#REF!,#REF!,#REF!,#REF!</definedName>
    <definedName name="P10_T1_Protect" hidden="1">#REF!,#REF!,#REF!,#REF!,#REF!</definedName>
    <definedName name="P11_SCOPE_FULL_LOAD" localSheetId="5" hidden="1">#REF!,#REF!,#REF!,#REF!,#REF!</definedName>
    <definedName name="P11_SCOPE_FULL_LOAD" hidden="1">#REF!,#REF!,#REF!,#REF!,#REF!</definedName>
    <definedName name="P11_T1_Protect" localSheetId="5" hidden="1">#REF!,#REF!,#REF!,#REF!,#REF!</definedName>
    <definedName name="P11_T1_Protect" hidden="1">#REF!,#REF!,#REF!,#REF!,#REF!</definedName>
    <definedName name="P12_SCOPE_FULL_LOAD" localSheetId="5" hidden="1">#REF!,#REF!,#REF!,#REF!,#REF!,#REF!</definedName>
    <definedName name="P12_SCOPE_FULL_LOAD" hidden="1">#REF!,#REF!,#REF!,#REF!,#REF!,#REF!</definedName>
    <definedName name="P12_T1_Protect" localSheetId="5" hidden="1">#REF!,#REF!,#REF!,#REF!,#REF!</definedName>
    <definedName name="P12_T1_Protect" hidden="1">#REF!,#REF!,#REF!,#REF!,#REF!</definedName>
    <definedName name="P13_SCOPE_FULL_LOAD" localSheetId="5" hidden="1">#REF!,#REF!,#REF!,#REF!,#REF!,#REF!</definedName>
    <definedName name="P13_SCOPE_FULL_LOAD" hidden="1">#REF!,#REF!,#REF!,#REF!,#REF!,#REF!</definedName>
    <definedName name="P13_T1_Protect" localSheetId="5" hidden="1">#REF!,#REF!,#REF!,#REF!,#REF!</definedName>
    <definedName name="P13_T1_Protect" hidden="1">#REF!,#REF!,#REF!,#REF!,#REF!</definedName>
    <definedName name="P14_SCOPE_FULL_LOAD" localSheetId="5" hidden="1">#REF!,#REF!,#REF!,#REF!,#REF!,#REF!</definedName>
    <definedName name="P14_SCOPE_FULL_LOAD" hidden="1">#REF!,#REF!,#REF!,#REF!,#REF!,#REF!</definedName>
    <definedName name="P14_T1_Protect" localSheetId="5" hidden="1">#REF!,#REF!,#REF!,#REF!,#REF!</definedName>
    <definedName name="P14_T1_Protect" hidden="1">#REF!,#REF!,#REF!,#REF!,#REF!</definedName>
    <definedName name="P15_SCOPE_FULL_LOAD" localSheetId="5" hidden="1">#REF!,#REF!,#REF!,#REF!,#REF!,'расчет (2)'!P1_SCOPE_FULL_LOAD</definedName>
    <definedName name="P15_SCOPE_FULL_LOAD" hidden="1">#REF!,#REF!,#REF!,#REF!,#REF!,P1_SCOPE_FULL_LOAD</definedName>
    <definedName name="P15_T1_Protect" localSheetId="5" hidden="1">#REF!,#REF!,#REF!,#REF!,#REF!</definedName>
    <definedName name="P15_T1_Protect" hidden="1">#REF!,#REF!,#REF!,#REF!,#REF!</definedName>
    <definedName name="P16_SCOPE_FULL_LOAD" localSheetId="5" hidden="1">[9]!P2_SCOPE_FULL_LOAD,[9]!P3_SCOPE_FULL_LOAD,[9]!P4_SCOPE_FULL_LOAD,[9]!P5_SCOPE_FULL_LOAD,[9]!P6_SCOPE_FULL_LOAD,[9]!P7_SCOPE_FULL_LOAD,[9]!P8_SCOPE_FULL_LOAD</definedName>
    <definedName name="P16_SCOPE_FULL_LOAD" hidden="1">[9]!P2_SCOPE_FULL_LOAD,[9]!P3_SCOPE_FULL_LOAD,[9]!P4_SCOPE_FULL_LOAD,[9]!P5_SCOPE_FULL_LOAD,[9]!P6_SCOPE_FULL_LOAD,[9]!P7_SCOPE_FULL_LOAD,[9]!P8_SCOPE_FULL_LOAD</definedName>
    <definedName name="P16_T1_Protect" localSheetId="5" hidden="1">#REF!,#REF!,#REF!,#REF!,#REF!,#REF!</definedName>
    <definedName name="P16_T1_Protect" hidden="1">#REF!,#REF!,#REF!,#REF!,#REF!,#REF!</definedName>
    <definedName name="P17_SCOPE_FULL_LOAD" localSheetId="5" hidden="1">[9]!P9_SCOPE_FULL_LOAD,'расчет (2)'!P10_SCOPE_FULL_LOAD,'расчет (2)'!P11_SCOPE_FULL_LOAD,'расчет (2)'!P12_SCOPE_FULL_LOAD,'расчет (2)'!P13_SCOPE_FULL_LOAD,'расчет (2)'!P14_SCOPE_FULL_LOAD,'расчет (2)'!P15_SCOPE_FULL_LOAD</definedName>
    <definedName name="P17_SCOPE_FULL_LOAD" hidden="1">[9]!P9_SCOPE_FULL_LOAD,P10_SCOPE_FULL_LOAD,P11_SCOPE_FULL_LOAD,P12_SCOPE_FULL_LOAD,P13_SCOPE_FULL_LOAD,P14_SCOPE_FULL_LOAD,P15_SCOPE_FULL_LOAD</definedName>
    <definedName name="P17_T1_Protect" localSheetId="5" hidden="1">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[2]FST5!$G$100:$G$116,[2]FST5!$G$118:$G$123,[2]FST5!$G$125:$G$126,[2]FST5!$G$128:$G$131,[2]FST5!$G$133,[2]FST5!$G$135:$G$139,[2]FST5!$G$141</definedName>
    <definedName name="P2_SC22" localSheetId="5" hidden="1">#REF!,#REF!,#REF!,#REF!,#REF!,#REF!,#REF!</definedName>
    <definedName name="P2_SC22" hidden="1">#REF!,#REF!,#REF!,#REF!,#REF!,#REF!,#REF!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CORR" localSheetId="5" hidden="1">#REF!,#REF!,#REF!,#REF!,#REF!,#REF!,#REF!,#REF!</definedName>
    <definedName name="P2_SCOPE_CORR" hidden="1">#REF!,#REF!,#REF!,#REF!,#REF!,#REF!,#REF!,#REF!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FULL_LOAD" localSheetId="5" hidden="1">#REF!,#REF!,#REF!,#REF!,#REF!,#REF!</definedName>
    <definedName name="P2_SCOPE_FULL_LOAD" hidden="1">#REF!,#REF!,#REF!,#REF!,#REF!,#REF!</definedName>
    <definedName name="P2_SCOPE_IND" localSheetId="5" hidden="1">#REF!,#REF!,#REF!,#REF!,#REF!,#REF!</definedName>
    <definedName name="P2_SCOPE_IND" hidden="1">#REF!,#REF!,#REF!,#REF!,#REF!,#REF!</definedName>
    <definedName name="P2_SCOPE_IND2" localSheetId="5" hidden="1">#REF!,#REF!,#REF!,#REF!,#REF!</definedName>
    <definedName name="P2_SCOPE_IND2" hidden="1">#REF!,#REF!,#REF!,#REF!,#REF!</definedName>
    <definedName name="P2_SCOPE_NOTIND" localSheetId="5" hidden="1">#REF!,#REF!,#REF!,#REF!,#REF!,#REF!,#REF!</definedName>
    <definedName name="P2_SCOPE_NOTIND" hidden="1">#REF!,#REF!,#REF!,#REF!,#REF!,#REF!,#REF!</definedName>
    <definedName name="P2_SCOPE_NotInd2" localSheetId="5" hidden="1">#REF!,#REF!,#REF!,#REF!,#REF!,#REF!</definedName>
    <definedName name="P2_SCOPE_NotInd2" hidden="1">#REF!,#REF!,#REF!,#REF!,#REF!,#REF!</definedName>
    <definedName name="P2_SCOPE_NotInd3" localSheetId="5" hidden="1">#REF!,#REF!,#REF!,#REF!,#REF!,#REF!,#REF!</definedName>
    <definedName name="P2_SCOPE_NotInd3" hidden="1">#REF!,#REF!,#REF!,#REF!,#REF!,#REF!,#REF!</definedName>
    <definedName name="P2_SCOPE_NotInt" localSheetId="5" hidden="1">#REF!,#REF!,#REF!,#REF!,#REF!,#REF!,#REF!</definedName>
    <definedName name="P2_SCOPE_NotInt" hidden="1">#REF!,#REF!,#REF!,#REF!,#REF!,#REF!,#REF!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2_SCOPE_SAVE2" localSheetId="5" hidden="1">#REF!,#REF!,#REF!,#REF!,#REF!,#REF!</definedName>
    <definedName name="P2_SCOPE_SAVE2" hidden="1">#REF!,#REF!,#REF!,#REF!,#REF!,#REF!</definedName>
    <definedName name="P2_SCOPE_SV_PRT" localSheetId="5" hidden="1">#REF!,#REF!,#REF!,#REF!,#REF!,#REF!,#REF!</definedName>
    <definedName name="P2_SCOPE_SV_PRT" hidden="1">#REF!,#REF!,#REF!,#REF!,#REF!,#REF!,#REF!</definedName>
    <definedName name="P2_T1_Protect" localSheetId="5" hidden="1">#REF!,#REF!,#REF!,#REF!,#REF!,#REF!</definedName>
    <definedName name="P2_T1_Protect" hidden="1">#REF!,#REF!,#REF!,#REF!,#REF!,#REF!</definedName>
    <definedName name="P2_T4_Protect" hidden="1">'[8]4'!$Q$22:$T$22,'[8]4'!$Q$23:$T$25,'[8]4'!$V$23:$Y$25,'[8]4'!$V$22:$Y$22,'[8]4'!$V$20:$Y$20,'[8]4'!$V$11:$Y$17,'[8]4'!$AA$11:$AD$17,'[8]4'!$AA$20:$AD$20,'[8]4'!$AA$22:$AD$22</definedName>
    <definedName name="P3_dip" hidden="1">[2]FST5!$G$143:$G$145,[2]FST5!$G$214:$G$217,[2]FST5!$G$219:$G$224,[2]FST5!$G$226,[2]FST5!$G$228,[2]FST5!$G$230,[2]FST5!$G$232,[2]FST5!$G$197:$G$212</definedName>
    <definedName name="P3_SC22" localSheetId="5" hidden="1">#REF!,#REF!,#REF!,#REF!,#REF!,#REF!</definedName>
    <definedName name="P3_SC22" hidden="1">#REF!,#REF!,#REF!,#REF!,#REF!,#REF!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FULL_LOAD" localSheetId="5" hidden="1">#REF!,#REF!,#REF!,#REF!,#REF!,#REF!</definedName>
    <definedName name="P3_SCOPE_FULL_LOAD" hidden="1">#REF!,#REF!,#REF!,#REF!,#REF!,#REF!</definedName>
    <definedName name="P3_SCOPE_IND" localSheetId="5" hidden="1">#REF!,#REF!,#REF!,#REF!,#REF!</definedName>
    <definedName name="P3_SCOPE_IND" hidden="1">#REF!,#REF!,#REF!,#REF!,#REF!</definedName>
    <definedName name="P3_SCOPE_IND2" localSheetId="5" hidden="1">#REF!,#REF!,#REF!,#REF!,#REF!</definedName>
    <definedName name="P3_SCOPE_IND2" hidden="1">#REF!,#REF!,#REF!,#REF!,#REF!</definedName>
    <definedName name="P3_SCOPE_NOTIND" localSheetId="5" hidden="1">#REF!,#REF!,#REF!,#REF!,#REF!,#REF!,#REF!</definedName>
    <definedName name="P3_SCOPE_NOTIND" hidden="1">#REF!,#REF!,#REF!,#REF!,#REF!,#REF!,#REF!</definedName>
    <definedName name="P3_SCOPE_NotInd2" localSheetId="5" hidden="1">#REF!,#REF!,#REF!,#REF!,#REF!,#REF!,#REF!</definedName>
    <definedName name="P3_SCOPE_NotInd2" hidden="1">#REF!,#REF!,#REF!,#REF!,#REF!,#REF!,#REF!</definedName>
    <definedName name="P3_SCOPE_NotInt" localSheetId="5" hidden="1">#REF!,#REF!,#REF!,#REF!,#REF!,#REF!</definedName>
    <definedName name="P3_SCOPE_NotInt" hidden="1">#REF!,#REF!,#REF!,#REF!,#REF!,#REF!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3_SCOPE_SV_PRT" localSheetId="5" hidden="1">#REF!,#REF!,#REF!,#REF!,#REF!,#REF!,#REF!</definedName>
    <definedName name="P3_SCOPE_SV_PRT" hidden="1">#REF!,#REF!,#REF!,#REF!,#REF!,#REF!,#REF!</definedName>
    <definedName name="P3_T1_Protect" localSheetId="5" hidden="1">#REF!,#REF!,#REF!,#REF!,#REF!</definedName>
    <definedName name="P3_T1_Protect" hidden="1">#REF!,#REF!,#REF!,#REF!,#REF!</definedName>
    <definedName name="P4_dip" hidden="1">[2]FST5!$G$70:$G$75,[2]FST5!$G$77:$G$78,[2]FST5!$G$80:$G$83,[2]FST5!$G$85,[2]FST5!$G$87:$G$91,[2]FST5!$G$93,[2]FST5!$G$95:$G$97,[2]FST5!$G$52:$G$68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FULL_LOAD" localSheetId="5" hidden="1">#REF!,#REF!,#REF!,#REF!,#REF!,#REF!</definedName>
    <definedName name="P4_SCOPE_FULL_LOAD" hidden="1">#REF!,#REF!,#REF!,#REF!,#REF!,#REF!</definedName>
    <definedName name="P4_SCOPE_IND" localSheetId="5" hidden="1">#REF!,#REF!,#REF!,#REF!,#REF!</definedName>
    <definedName name="P4_SCOPE_IND" hidden="1">#REF!,#REF!,#REF!,#REF!,#REF!</definedName>
    <definedName name="P4_SCOPE_IND2" localSheetId="5" hidden="1">#REF!,#REF!,#REF!,#REF!,#REF!,#REF!</definedName>
    <definedName name="P4_SCOPE_IND2" hidden="1">#REF!,#REF!,#REF!,#REF!,#REF!,#REF!</definedName>
    <definedName name="P4_SCOPE_NOTIND" localSheetId="5" hidden="1">#REF!,#REF!,#REF!,#REF!,#REF!,#REF!,#REF!</definedName>
    <definedName name="P4_SCOPE_NOTIND" hidden="1">#REF!,#REF!,#REF!,#REF!,#REF!,#REF!,#REF!</definedName>
    <definedName name="P4_SCOPE_NotInd2" localSheetId="5" hidden="1">#REF!,#REF!,#REF!,#REF!,#REF!,#REF!,#REF!</definedName>
    <definedName name="P4_SCOPE_NotInd2" hidden="1">#REF!,#REF!,#REF!,#REF!,#REF!,#REF!,#REF!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P4_T1_Protect" localSheetId="5" hidden="1">#REF!,#REF!,#REF!,#REF!,#REF!,#REF!</definedName>
    <definedName name="P4_T1_Protect" hidden="1">#REF!,#REF!,#REF!,#REF!,#REF!,#REF!</definedName>
    <definedName name="P5_SCOPE_FULL_LOAD" localSheetId="5" hidden="1">#REF!,#REF!,#REF!,#REF!,#REF!,#REF!</definedName>
    <definedName name="P5_SCOPE_FULL_LOAD" hidden="1">#REF!,#REF!,#REF!,#REF!,#REF!,#REF!</definedName>
    <definedName name="P5_SCOPE_NOTIND" localSheetId="5" hidden="1">#REF!,#REF!,#REF!,#REF!,#REF!,#REF!,#REF!</definedName>
    <definedName name="P5_SCOPE_NOTIND" hidden="1">#REF!,#REF!,#REF!,#REF!,#REF!,#REF!,#REF!</definedName>
    <definedName name="P5_SCOPE_NotInd2" localSheetId="5" hidden="1">#REF!,#REF!,#REF!,#REF!,#REF!,#REF!,#REF!</definedName>
    <definedName name="P5_SCOPE_NotInd2" hidden="1">#REF!,#REF!,#REF!,#REF!,#REF!,#REF!,#REF!</definedName>
    <definedName name="P5_SCOPE_PER_PRT" hidden="1">[4]перекрестка!$H$60:$H$64,[4]перекрестка!$J$53:$J$64,[4]перекрестка!$K$54:$K$58,[4]перекрестка!$K$60:$K$64,[4]перекрестка!$N$53:$N$64</definedName>
    <definedName name="P5_T1_Protect" localSheetId="5" hidden="1">#REF!,#REF!,#REF!,#REF!,#REF!</definedName>
    <definedName name="P5_T1_Protect" hidden="1">#REF!,#REF!,#REF!,#REF!,#REF!</definedName>
    <definedName name="P6_SCOPE_FULL_LOAD" localSheetId="5" hidden="1">#REF!,#REF!,#REF!,#REF!,#REF!,#REF!</definedName>
    <definedName name="P6_SCOPE_FULL_LOAD" hidden="1">#REF!,#REF!,#REF!,#REF!,#REF!,#REF!</definedName>
    <definedName name="P6_SCOPE_NOTIND" localSheetId="5" hidden="1">#REF!,#REF!,#REF!,#REF!,#REF!,#REF!,#REF!</definedName>
    <definedName name="P6_SCOPE_NOTIND" hidden="1">#REF!,#REF!,#REF!,#REF!,#REF!,#REF!,#REF!</definedName>
    <definedName name="P6_SCOPE_NotInd2" localSheetId="5" hidden="1">#REF!,#REF!,#REF!,#REF!,#REF!,#REF!,#REF!</definedName>
    <definedName name="P6_SCOPE_NotInd2" hidden="1">#REF!,#REF!,#REF!,#REF!,#REF!,#REF!,#REF!</definedName>
    <definedName name="P6_SCOPE_PER_PRT" hidden="1">[4]перекрестка!$F$66:$H$70,[4]перекрестка!$J$66:$K$70,[4]перекрестка!$N$66:$N$70,[4]перекрестка!$F$72:$H$76,[4]перекрестка!$J$72:$K$76</definedName>
    <definedName name="P6_T1_Protect" localSheetId="5" hidden="1">#REF!,#REF!,#REF!,#REF!,#REF!</definedName>
    <definedName name="P6_T1_Protect" hidden="1">#REF!,#REF!,#REF!,#REF!,#REF!</definedName>
    <definedName name="P7_SCOPE_FULL_LOAD" localSheetId="5" hidden="1">#REF!,#REF!,#REF!,#REF!,#REF!,#REF!</definedName>
    <definedName name="P7_SCOPE_FULL_LOAD" hidden="1">#REF!,#REF!,#REF!,#REF!,#REF!,#REF!</definedName>
    <definedName name="P7_SCOPE_NOTIND" localSheetId="5" hidden="1">#REF!,#REF!,#REF!,#REF!,#REF!,#REF!</definedName>
    <definedName name="P7_SCOPE_NOTIND" hidden="1">#REF!,#REF!,#REF!,#REF!,#REF!,#REF!</definedName>
    <definedName name="P7_SCOPE_NotInd2" localSheetId="5" hidden="1">#REF!,#REF!,#REF!,#REF!,#REF!,'расчет (2)'!P1_SCOPE_NotInd2,'расчет (2)'!P2_SCOPE_NotInd2,'расчет (2)'!P3_SCOPE_NotInd2</definedName>
    <definedName name="P7_SCOPE_NotInd2" hidden="1">#REF!,#REF!,#REF!,#REF!,#REF!,P1_SCOPE_NotInd2,P2_SCOPE_NotInd2,P3_SCOPE_NotInd2</definedName>
    <definedName name="P7_SCOPE_PER_PRT" hidden="1">[4]перекрестка!$N$72:$N$76,[4]перекрестка!$F$78:$H$82,[4]перекрестка!$J$78:$K$82,[4]перекрестка!$N$78:$N$82,[4]перекрестка!$F$84:$H$88</definedName>
    <definedName name="P7_T1_Protect" localSheetId="5" hidden="1">#REF!,#REF!,#REF!,#REF!,#REF!</definedName>
    <definedName name="P7_T1_Protect" hidden="1">#REF!,#REF!,#REF!,#REF!,#REF!</definedName>
    <definedName name="P8_SCOPE_FULL_LOAD" localSheetId="5" hidden="1">#REF!,#REF!,#REF!,#REF!,#REF!,#REF!</definedName>
    <definedName name="P8_SCOPE_FULL_LOAD" hidden="1">#REF!,#REF!,#REF!,#REF!,#REF!,#REF!</definedName>
    <definedName name="P8_SCOPE_NOTIND" localSheetId="5" hidden="1">#REF!,#REF!,#REF!,#REF!,#REF!,#REF!</definedName>
    <definedName name="P8_SCOPE_NOTIND" hidden="1">#REF!,#REF!,#REF!,#REF!,#REF!,#REF!</definedName>
    <definedName name="P8_SCOPE_PER_PRT" hidden="1">[4]перекрестка!$J$84:$K$88,[4]перекрестка!$N$84:$N$88,[4]перекрестка!$F$14:$G$25,P1_SCOPE_PER_PRT,P2_SCOPE_PER_PRT,P3_SCOPE_PER_PRT,P4_SCOPE_PER_PRT</definedName>
    <definedName name="P8_T1_Protect" localSheetId="5" hidden="1">#REF!,#REF!,#REF!,#REF!,#REF!</definedName>
    <definedName name="P8_T1_Protect" hidden="1">#REF!,#REF!,#REF!,#REF!,#REF!</definedName>
    <definedName name="P9_SCOPE_FULL_LOAD" localSheetId="5" hidden="1">#REF!,#REF!,#REF!,#REF!,#REF!,#REF!</definedName>
    <definedName name="P9_SCOPE_FULL_LOAD" hidden="1">#REF!,#REF!,#REF!,#REF!,#REF!,#REF!</definedName>
    <definedName name="P9_SCOPE_NotInd" localSheetId="5" hidden="1">#REF!,[9]!P1_SCOPE_NOTIND,[9]!P2_SCOPE_NOTIND,[9]!P3_SCOPE_NOTIND,[9]!P4_SCOPE_NOTIND,[9]!P5_SCOPE_NOTIND,[9]!P6_SCOPE_NOTIND,[9]!P7_SCOPE_NOTIND</definedName>
    <definedName name="P9_SCOPE_NotInd" hidden="1">#REF!,[9]!P1_SCOPE_NOTIND,[9]!P2_SCOPE_NOTIND,[9]!P3_SCOPE_NOTIND,[9]!P4_SCOPE_NOTIND,[9]!P5_SCOPE_NOTIND,[9]!P6_SCOPE_NOTIND,[9]!P7_SCOPE_NOTIND</definedName>
    <definedName name="P9_T1_Protect" localSheetId="5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"479GSPMTNK9HM4ZSIVE5K2SH6"</definedName>
    <definedName name="wrn.Сравнение._.с._.отраслями." hidden="1">{#N/A,#N/A,TRUE,"Лист1";#N/A,#N/A,TRUE,"Лист2";#N/A,#N/A,TRUE,"Лист3"}</definedName>
    <definedName name="витт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щжо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1">'Южный список'!$A$1:$D$10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апр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1" l="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4" i="1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2" i="11" s="1"/>
  <c r="A23" i="11" s="1"/>
  <c r="K24" i="11" l="1"/>
  <c r="N11" i="7" l="1"/>
  <c r="A95" i="7"/>
  <c r="A94" i="7"/>
  <c r="A93" i="7"/>
  <c r="A92" i="7"/>
  <c r="A91" i="7"/>
  <c r="A90" i="7"/>
  <c r="D72" i="7"/>
  <c r="D70" i="7" s="1"/>
  <c r="D69" i="7"/>
  <c r="D68" i="7" s="1"/>
  <c r="D67" i="7"/>
  <c r="D66" i="7"/>
  <c r="D65" i="7"/>
  <c r="D64" i="7"/>
  <c r="D63" i="7"/>
  <c r="D62" i="7"/>
  <c r="D60" i="7"/>
  <c r="D59" i="7"/>
  <c r="D58" i="7"/>
  <c r="D57" i="7"/>
  <c r="D56" i="7"/>
  <c r="D55" i="7"/>
  <c r="D53" i="7"/>
  <c r="D52" i="7"/>
  <c r="D51" i="7"/>
  <c r="D50" i="7"/>
  <c r="D49" i="7"/>
  <c r="D48" i="7"/>
  <c r="H45" i="7"/>
  <c r="E45" i="7"/>
  <c r="D45" i="7"/>
  <c r="D41" i="7"/>
  <c r="D40" i="7" s="1"/>
  <c r="D39" i="7"/>
  <c r="D38" i="7" s="1"/>
  <c r="D37" i="7"/>
  <c r="D36" i="7"/>
  <c r="D35" i="7"/>
  <c r="D34" i="7"/>
  <c r="D33" i="7"/>
  <c r="D32" i="7"/>
  <c r="H30" i="7"/>
  <c r="D30" i="7"/>
  <c r="H29" i="7"/>
  <c r="D29" i="7"/>
  <c r="H28" i="7"/>
  <c r="D28" i="7"/>
  <c r="H27" i="7"/>
  <c r="D27" i="7"/>
  <c r="H26" i="7"/>
  <c r="D26" i="7"/>
  <c r="H25" i="7"/>
  <c r="D25" i="7"/>
  <c r="I23" i="7"/>
  <c r="F23" i="7"/>
  <c r="D23" i="7"/>
  <c r="D22" i="7"/>
  <c r="D21" i="7"/>
  <c r="D20" i="7"/>
  <c r="D19" i="7"/>
  <c r="D18" i="7"/>
  <c r="U12" i="7"/>
  <c r="R12" i="7"/>
  <c r="H38" i="7" s="1"/>
  <c r="O12" i="7"/>
  <c r="H12" i="7"/>
  <c r="H24" i="7" s="1"/>
  <c r="V11" i="7"/>
  <c r="W11" i="7" s="1"/>
  <c r="X11" i="7" s="1"/>
  <c r="L10" i="7"/>
  <c r="I10" i="7"/>
  <c r="J10" i="7" s="1"/>
  <c r="F10" i="7"/>
  <c r="E10" i="7"/>
  <c r="C10" i="7"/>
  <c r="B10" i="7"/>
  <c r="L9" i="7"/>
  <c r="I9" i="7"/>
  <c r="J9" i="7" s="1"/>
  <c r="F9" i="7"/>
  <c r="E9" i="7"/>
  <c r="C9" i="7"/>
  <c r="B9" i="7"/>
  <c r="K9" i="7" s="1"/>
  <c r="T8" i="7"/>
  <c r="T12" i="7" s="1"/>
  <c r="L8" i="7"/>
  <c r="I8" i="7"/>
  <c r="J8" i="7" s="1"/>
  <c r="F8" i="7"/>
  <c r="E8" i="7"/>
  <c r="C8" i="7"/>
  <c r="B8" i="7"/>
  <c r="P7" i="7"/>
  <c r="Q7" i="7" s="1"/>
  <c r="Q12" i="7" s="1"/>
  <c r="L7" i="7"/>
  <c r="I7" i="7"/>
  <c r="J7" i="7" s="1"/>
  <c r="F7" i="7"/>
  <c r="E7" i="7"/>
  <c r="G7" i="7" s="1"/>
  <c r="C7" i="7"/>
  <c r="B7" i="7"/>
  <c r="L6" i="7"/>
  <c r="I6" i="7"/>
  <c r="J6" i="7" s="1"/>
  <c r="F6" i="7"/>
  <c r="E6" i="7"/>
  <c r="C6" i="7"/>
  <c r="B6" i="7"/>
  <c r="D6" i="7" s="1"/>
  <c r="L5" i="7"/>
  <c r="I5" i="7"/>
  <c r="J5" i="7" s="1"/>
  <c r="F5" i="7"/>
  <c r="E5" i="7"/>
  <c r="G5" i="7" s="1"/>
  <c r="C5" i="7"/>
  <c r="B5" i="7"/>
  <c r="M9" i="7" l="1"/>
  <c r="E29" i="7"/>
  <c r="G10" i="7"/>
  <c r="E26" i="7"/>
  <c r="K5" i="7"/>
  <c r="M5" i="7" s="1"/>
  <c r="K8" i="7"/>
  <c r="M8" i="7" s="1"/>
  <c r="K7" i="7"/>
  <c r="D9" i="7"/>
  <c r="E28" i="7"/>
  <c r="D8" i="7"/>
  <c r="D61" i="7"/>
  <c r="A97" i="7"/>
  <c r="D10" i="7"/>
  <c r="B12" i="7"/>
  <c r="G8" i="7"/>
  <c r="D54" i="7"/>
  <c r="D7" i="7"/>
  <c r="K6" i="7"/>
  <c r="M6" i="7" s="1"/>
  <c r="D31" i="7"/>
  <c r="D47" i="7"/>
  <c r="G6" i="7"/>
  <c r="D24" i="7"/>
  <c r="K10" i="7"/>
  <c r="M10" i="7" s="1"/>
  <c r="D17" i="7"/>
  <c r="D5" i="7"/>
  <c r="G9" i="7"/>
  <c r="N9" i="7" s="1"/>
  <c r="M7" i="7"/>
  <c r="E40" i="7"/>
  <c r="W12" i="7"/>
  <c r="D83" i="7"/>
  <c r="J12" i="7"/>
  <c r="E38" i="7"/>
  <c r="E27" i="7"/>
  <c r="E30" i="7"/>
  <c r="E25" i="7"/>
  <c r="E12" i="7"/>
  <c r="X8" i="7" l="1"/>
  <c r="N5" i="7"/>
  <c r="X5" i="7"/>
  <c r="X7" i="7"/>
  <c r="D78" i="7" s="1"/>
  <c r="X9" i="7"/>
  <c r="D80" i="7" s="1"/>
  <c r="N8" i="7"/>
  <c r="E31" i="7"/>
  <c r="D12" i="7"/>
  <c r="N6" i="7"/>
  <c r="X10" i="7"/>
  <c r="X6" i="7"/>
  <c r="D77" i="7" s="1"/>
  <c r="D81" i="7"/>
  <c r="N10" i="7"/>
  <c r="N7" i="7"/>
  <c r="D79" i="7"/>
  <c r="H17" i="7"/>
  <c r="G12" i="7"/>
  <c r="H31" i="7"/>
  <c r="E24" i="7"/>
  <c r="K12" i="7"/>
  <c r="E17" i="7" s="1"/>
  <c r="M12" i="7"/>
  <c r="X12" i="7" l="1"/>
  <c r="H40" i="7" s="1"/>
  <c r="H16" i="7" s="1"/>
  <c r="N12" i="7"/>
  <c r="E16" i="7"/>
  <c r="D76" i="7"/>
  <c r="D84" i="7" s="1"/>
  <c r="N13" i="7" l="1"/>
</calcChain>
</file>

<file path=xl/comments1.xml><?xml version="1.0" encoding="utf-8"?>
<comments xmlns="http://schemas.openxmlformats.org/spreadsheetml/2006/main">
  <authors>
    <author>Сохина Татьяна Юрьевна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>Сохина Татьяна Юрьевна:</t>
        </r>
        <r>
          <rPr>
            <sz val="9"/>
            <color indexed="81"/>
            <rFont val="Tahoma"/>
            <family val="2"/>
            <charset val="204"/>
          </rPr>
          <t xml:space="preserve">
ТП-1 смонтировано, не подписан акт рабочей комиссии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Сохина Татьяна Юрьевна:</t>
        </r>
        <r>
          <rPr>
            <sz val="9"/>
            <color indexed="81"/>
            <rFont val="Tahoma"/>
            <family val="2"/>
            <charset val="204"/>
          </rPr>
          <t xml:space="preserve">
БКТП-142
ТП-35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Сохина Татьяна Юрьевна:</t>
        </r>
        <r>
          <rPr>
            <sz val="9"/>
            <color indexed="81"/>
            <rFont val="Tahoma"/>
            <family val="2"/>
            <charset val="204"/>
          </rPr>
          <t xml:space="preserve">
Олтон ДС1, ДС 3 задвоение</t>
        </r>
      </text>
    </comment>
  </commentList>
</comments>
</file>

<file path=xl/sharedStrings.xml><?xml version="1.0" encoding="utf-8"?>
<sst xmlns="http://schemas.openxmlformats.org/spreadsheetml/2006/main" count="306" uniqueCount="135">
  <si>
    <t>ЦФО</t>
  </si>
  <si>
    <t>кол-во, шт.</t>
  </si>
  <si>
    <t>Восточный филиал</t>
  </si>
  <si>
    <t>Западный филиал</t>
  </si>
  <si>
    <t>Пригородный филиал</t>
  </si>
  <si>
    <t>Северный филиал</t>
  </si>
  <si>
    <t>Центральный филиал</t>
  </si>
  <si>
    <t>Южный филиал</t>
  </si>
  <si>
    <t>Итого:</t>
  </si>
  <si>
    <t>Дог № 78-1613-16223 Охрана объектов (охрана ПС Слобода + ПС Лаврики )</t>
  </si>
  <si>
    <t>Дог № 78-1713-90923 Охрана объектов (Кудрово)</t>
  </si>
  <si>
    <t xml:space="preserve">ЦА </t>
  </si>
  <si>
    <t>ст-ть за 1 объект, тыс. руб. (без НДС) в месяц</t>
  </si>
  <si>
    <t>Сумма, тыс. руб. 
(без НДС) за год</t>
  </si>
  <si>
    <t>ЦА</t>
  </si>
  <si>
    <t>Дог № 78-1613-16223 Охрана объектов</t>
  </si>
  <si>
    <t>Дог № 78-1713-90923 Охрана объектов</t>
  </si>
  <si>
    <t>Сумма (упр)</t>
  </si>
  <si>
    <t>Контрагент</t>
  </si>
  <si>
    <t>Мониторинговая компания ОП СПб</t>
  </si>
  <si>
    <t>План затрат по ООО "Мониторинговая компания ОП СПб" на 2019 год</t>
  </si>
  <si>
    <t>Дог № 00-0232/2018 БЕЗ Охрана объектов (об оказании информационных услуг путем предоставления доступа к мониторингу объектов через ПО "Дозор")</t>
  </si>
  <si>
    <t>Дог № 00-1547/2017 БЕЗ Охрана объектов</t>
  </si>
  <si>
    <t>Дог № 00-0479/2018 БЕЗ Охрана объектов (оказание охранных услуг и услуг сервисного обслуживания охранной сигнализации на ТП, РП)</t>
  </si>
  <si>
    <t>Октябрь 2018 г.</t>
  </si>
  <si>
    <t>Ноябрь 2018 г.</t>
  </si>
  <si>
    <t>Дог № 00-0232/2018 БЕЗ Охрана объектов</t>
  </si>
  <si>
    <t>Дог № 00-0479/2018 БЕЗ Охрана объектов</t>
  </si>
  <si>
    <t>кол-во, шт</t>
  </si>
  <si>
    <t>декабрь ДС 3</t>
  </si>
  <si>
    <t>Расходы на охрану объектов (ОПР)</t>
  </si>
  <si>
    <t xml:space="preserve">22504    </t>
  </si>
  <si>
    <t>Расходы по охране объектов (УПР)</t>
  </si>
  <si>
    <t xml:space="preserve">23504    </t>
  </si>
  <si>
    <t>Отдел внутреннего контроля (ЦА)</t>
  </si>
  <si>
    <t>Итог</t>
  </si>
  <si>
    <t>Сумма, тыс. руб. 
(без НДС) за 9 мес.</t>
  </si>
  <si>
    <t>Ангар металлический, ПС "Высоцкая" г. Высоцк, Центральная ул,25,</t>
  </si>
  <si>
    <t>дельта расчет/заявка</t>
  </si>
  <si>
    <t>АН-Секьюрити Директ</t>
  </si>
  <si>
    <t>Обслуживание системы СКУД, АПС и видеонаблюдения производ.базы г. Каменногорск</t>
  </si>
  <si>
    <t>Обслуживание тревожной сигнализации производ.базы г. Каменногорск</t>
  </si>
  <si>
    <t>Обслуживание тревожной сигнализации производ.базы г. Светогорск</t>
  </si>
  <si>
    <t>Беллатор-Выборг ОП</t>
  </si>
  <si>
    <t xml:space="preserve">Услуги физической охраны  </t>
  </si>
  <si>
    <t>ЦПБ</t>
  </si>
  <si>
    <t>Монтаж 8 датчиков на окна АБК филиала ул. Советская,4</t>
  </si>
  <si>
    <t>Монтаж 8 датчиков на окна здания гаража ул. Советская,2,2а</t>
  </si>
  <si>
    <t>Обслуживание систем  ОПС, видеонаблюдения в здании РЭС «Рощинский» по адресу: п. Рощино, ул. Круговая, 7.</t>
  </si>
  <si>
    <t>Обслуживание систем охранно-пожарной  сигнализации (произ. базы филиала г. Светогорск, г. Приморск (2 объекта)</t>
  </si>
  <si>
    <t>Обслуживание систем охранно-пожарной сигнализации в арендованном офисе по адресу: г. Выборг, Рыбный пер., 2.</t>
  </si>
  <si>
    <t>Обслуживание систем охранно-пожарной сигнализации и видеонаблюдения в АБК филиала ул. Советская2, 2а, 4+материальный склад на ул. Пушкина.</t>
  </si>
  <si>
    <t>Обслуживание системы АПС, пожаротушения и видеонаблюдения на «ПС  110 кВ Высоцкая с заходами ВЛ 110 кВ в Выборгском районе ЛО»</t>
  </si>
  <si>
    <t>Статья бюджета</t>
  </si>
  <si>
    <t>Код</t>
  </si>
  <si>
    <t>Дирекция по безопасности, ИТ и связи (ЦА)</t>
  </si>
  <si>
    <t>Факт 2018 год</t>
  </si>
  <si>
    <t>УТВЕРЖДАЮ    Генеральный директор _____________Д.С. Симонов  "____"_______________2018</t>
  </si>
  <si>
    <t>Перечень мероприятий, заявленных филиалами к реализации в ИП 2019г. и 2020-2024гг. в рамках исполнения Приказа ГД от 26.09.2017 № 670.</t>
  </si>
  <si>
    <t>№ п/п</t>
  </si>
  <si>
    <t>Номер БЗ</t>
  </si>
  <si>
    <t>Пункт стандарта</t>
  </si>
  <si>
    <t>Филиал</t>
  </si>
  <si>
    <t>Мероприятие</t>
  </si>
  <si>
    <t>Дата начала</t>
  </si>
  <si>
    <t>Дата окончания</t>
  </si>
  <si>
    <t>Вид бюджета</t>
  </si>
  <si>
    <t>Текущий статус</t>
  </si>
  <si>
    <t>Сумма с НДС</t>
  </si>
  <si>
    <t>4.1</t>
  </si>
  <si>
    <t>Монтаж противоперелазного оргаждения "Егоза" по забору вокруг территории производственной базы РЭС г.Сосновый Бор</t>
  </si>
  <si>
    <t>БДР</t>
  </si>
  <si>
    <t>На контроле</t>
  </si>
  <si>
    <t>Монтаж противоперелазного ограждения "Егоза" по забору вокруг территории производственной базы РЭС г.Кингисепп</t>
  </si>
  <si>
    <t>Отклонена</t>
  </si>
  <si>
    <t>Монтаж противоперелазного ограждения "Егоза" по забору вокруг территории производственной базы РЭС г.Волосово</t>
  </si>
  <si>
    <t>Монтаж противоперелазного ограждения "Егоза" по забору вокруг территории производственной базы РЭС г.Сланцы</t>
  </si>
  <si>
    <t>4.2</t>
  </si>
  <si>
    <t>Монтаж распашных ворот РЭС г.Волосово Предварительно только уст. Мотор для открывания</t>
  </si>
  <si>
    <t>Монтаж распашных ворот РЭС г.Сосновый Бор Предварительно только уст. Мотор для открывания</t>
  </si>
  <si>
    <t>Монтаж ограждения вокруг административного здания участка РЭС г. Всеволожска в массиве Орехово Северное Призерского района и дополнительного ограждаения "Егоза"</t>
  </si>
  <si>
    <t>Согласован в ЦА без замечаний</t>
  </si>
  <si>
    <t>Монтаж дополнительного противоперелазного ограждения "Егоза" по забору вокруг территории производственной базы РЭС г. Всеволожска</t>
  </si>
  <si>
    <t>Противоперелазное устройство типа «Егоза» в РЭС г. Гатчина, Промзона- 1 — 150 метров.</t>
  </si>
  <si>
    <t>4,5</t>
  </si>
  <si>
    <t>Магнитно-контактные охранные извещатели в в РЭС Гатчина, Промзона- 1 — 17 комплектов, в АБК  г. Гатчина, ул. Чкалова д.62 — 17 комплектов.</t>
  </si>
  <si>
    <t>оборудование периметра ограждения противоперелазными препятствиями - 69 м;</t>
  </si>
  <si>
    <t>оборудование периметра ограждения противоперелазными препятствиями - 144 м;</t>
  </si>
  <si>
    <t xml:space="preserve"> оборудование периметра ограждения противоперелазными препятствиями - 60 м;</t>
  </si>
  <si>
    <t xml:space="preserve">Противоперелазное устройство типа «Егоза» в РЭС г. Луга — 110 метров, </t>
  </si>
  <si>
    <t xml:space="preserve">Магнитно-контактные охранные извещатели в РЭС г. Луга — 16 комплектов </t>
  </si>
  <si>
    <t>Мероприятия по технической укреплености территории мастерского участка в г. Коммунар - оборудование периметра ограждения противоперелазными препятствиями - 74 м;</t>
  </si>
  <si>
    <t>Мероприятия по технической укреплености территории мастерского участка в п. Тайцы   -  оборудование периметра ограждения противоперелазными препятствиями - 26 м;</t>
  </si>
  <si>
    <t>4.4</t>
  </si>
  <si>
    <r>
      <t xml:space="preserve">Модернизация системы видеонаблюдения:  дополнительная  установка 10ти камер внутреннего видеонаблюдения + установка аудио и визуального контроля в кабинеты ОТП. </t>
    </r>
    <r>
      <rPr>
        <sz val="12"/>
        <color rgb="FFFF0000"/>
        <rFont val="Times New Roman"/>
        <family val="1"/>
        <charset val="204"/>
      </rPr>
      <t>Разобраться с инв №</t>
    </r>
    <r>
      <rPr>
        <sz val="12"/>
        <rFont val="Times New Roman"/>
        <family val="1"/>
        <charset val="204"/>
      </rPr>
      <t xml:space="preserve">
</t>
    </r>
  </si>
  <si>
    <t>01.03.2019</t>
  </si>
  <si>
    <t>01.04.2019</t>
  </si>
  <si>
    <t>БИ</t>
  </si>
  <si>
    <t>198000???</t>
  </si>
  <si>
    <r>
      <t>Установка ворот отктных с электроприводом, оборудование системой видеодомофонной связи и охранной сигнализации.</t>
    </r>
    <r>
      <rPr>
        <sz val="12"/>
        <color rgb="FFFF0000"/>
        <rFont val="Times New Roman"/>
        <family val="1"/>
        <charset val="204"/>
      </rPr>
      <t xml:space="preserve"> Разбить на 3</t>
    </r>
  </si>
  <si>
    <t>01.03.2020</t>
  </si>
  <si>
    <t>01.04.2020</t>
  </si>
  <si>
    <t>330000???</t>
  </si>
  <si>
    <r>
      <t xml:space="preserve">Забор металлический или бетонный высотой не ниже 1,8 метра в РЭС г. Луга - 52 метра. </t>
    </r>
    <r>
      <rPr>
        <sz val="12"/>
        <color rgb="FFFF0000"/>
        <rFont val="Times New Roman"/>
        <family val="1"/>
        <charset val="204"/>
      </rPr>
      <t>В БДР</t>
    </r>
  </si>
  <si>
    <t>01.02.2019</t>
  </si>
  <si>
    <r>
      <t xml:space="preserve">Реконструкция ограждения(забора) производственной базы РЭС г. Лодейное Поле, инв№120000240 с созданием системы периметральной защиты в виде колючей проволоки "Егоза" </t>
    </r>
    <r>
      <rPr>
        <sz val="12"/>
        <color rgb="FFFF0000"/>
        <rFont val="Times New Roman"/>
        <family val="1"/>
        <charset val="204"/>
      </rPr>
      <t>В БДР</t>
    </r>
  </si>
  <si>
    <t>31.05.2019</t>
  </si>
  <si>
    <r>
      <t xml:space="preserve">Реконструкция ограждения(забора) производственной базы РЭС г. Пикалево, инв№200001614 с созданием системы периметральной защиты в виде колючей проволоки "Егоза"   </t>
    </r>
    <r>
      <rPr>
        <sz val="12"/>
        <color rgb="FFFF0000"/>
        <rFont val="Times New Roman"/>
        <family val="1"/>
        <charset val="204"/>
      </rPr>
      <t>В БДР</t>
    </r>
  </si>
  <si>
    <t>01.10.2019</t>
  </si>
  <si>
    <t>29.11.2019</t>
  </si>
  <si>
    <t>4.5</t>
  </si>
  <si>
    <r>
      <t>Монтаж систем охранно-пожарной сигнализации, оповещения людей о пожаре, видеонаблюдения в РЭС "Рощинский"   необходимость в монтаже систем охранно-пожарной сигнализации, оповещения людей о пожаре, видеонаблюдения в здании.</t>
    </r>
    <r>
      <rPr>
        <sz val="12"/>
        <color rgb="FFFF0000"/>
        <rFont val="Times New Roman"/>
        <family val="1"/>
        <charset val="204"/>
      </rPr>
      <t xml:space="preserve"> Разбить на 3</t>
    </r>
  </si>
  <si>
    <t>01.07.2019</t>
  </si>
  <si>
    <t>155563,3???</t>
  </si>
  <si>
    <t>Заместитель генерального директора по безопасности    _________________________ Г.Б. Ершов</t>
  </si>
  <si>
    <t>без НДС</t>
  </si>
  <si>
    <t>Установка камер видеонаблюдения ул.Пушкина</t>
  </si>
  <si>
    <t>ИТОГО</t>
  </si>
  <si>
    <t>Установка ограждения территории мастерского участка"                                20-1-06-1-11-04-2-0398</t>
  </si>
  <si>
    <t>"Установка ограждения территории мастерского участка"                                  20-1-06-1-11-04-2-0400</t>
  </si>
  <si>
    <t>136 000 без НДС,                            163 200 с НДС</t>
  </si>
  <si>
    <t xml:space="preserve">434 600 без НДС,                            521 520 с НДС </t>
  </si>
  <si>
    <t>570 600 без НДС,                           684 720 с НДС</t>
  </si>
  <si>
    <t>Стоимость работ</t>
  </si>
  <si>
    <t>___________________А. А. Пушкарев</t>
  </si>
  <si>
    <t>ПОДРЯДЧИК:</t>
  </si>
  <si>
    <t>_________________</t>
  </si>
  <si>
    <t>Наименования работ, титул</t>
  </si>
  <si>
    <t>Местоположение объекта</t>
  </si>
  <si>
    <t xml:space="preserve"> Приложение №2 Договора   №______________ от "_____"_______________ 2020 г.</t>
  </si>
  <si>
    <t xml:space="preserve">Список объектов.                                                                                         </t>
  </si>
  <si>
    <t>Филиал                           "Южные электросети"                                          АО "ЛОЭСК"</t>
  </si>
  <si>
    <t>ЗАКАЗЧИК:                                                                                                                                                   АО «ЛОЭСК»                                                                                                                               Директор по безопасности</t>
  </si>
  <si>
    <t>ЛО, г. Коммунар,                ул. Строителей д.10</t>
  </si>
  <si>
    <t>ЛО, п. Тайцы,                      ул. Советская, д.25.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</si>
</sst>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_-* #,##0.00\ _р_._-;\-* #,##0.00\ _р_._-;_-* &quot;-&quot;??\ _р_._-;_-@_-"/>
    <numFmt numFmtId="166" formatCode="#,##0.0000"/>
    <numFmt numFmtId="167" formatCode="#,##0.000"/>
  </numFmts>
  <fonts count="41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8"/>
      <color indexed="8"/>
      <name val="Arial"/>
      <family val="2"/>
    </font>
    <font>
      <b/>
      <sz val="10"/>
      <name val="Times New Roman"/>
      <family val="1"/>
      <charset val="204"/>
    </font>
    <font>
      <b/>
      <sz val="10"/>
      <color indexed="5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59"/>
      <name val="Arial"/>
      <family val="2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color indexed="8"/>
      <name val="Arial"/>
      <family val="2"/>
    </font>
    <font>
      <b/>
      <sz val="11"/>
      <color indexed="5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9" fontId="10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0" fontId="22" fillId="0" borderId="0"/>
    <xf numFmtId="0" fontId="29" fillId="0" borderId="0"/>
    <xf numFmtId="0" fontId="33" fillId="0" borderId="0">
      <alignment horizontal="center" vertical="top"/>
    </xf>
  </cellStyleXfs>
  <cellXfs count="179">
    <xf numFmtId="0" fontId="0" fillId="0" borderId="0" xfId="0"/>
    <xf numFmtId="0" fontId="5" fillId="0" borderId="0" xfId="1" applyFont="1"/>
    <xf numFmtId="0" fontId="7" fillId="0" borderId="0" xfId="1" applyFont="1"/>
    <xf numFmtId="0" fontId="4" fillId="0" borderId="1" xfId="1" applyFont="1" applyBorder="1" applyAlignment="1">
      <alignment vertical="center"/>
    </xf>
    <xf numFmtId="0" fontId="8" fillId="0" borderId="0" xfId="1" applyFont="1"/>
    <xf numFmtId="0" fontId="4" fillId="0" borderId="2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64" fontId="6" fillId="0" borderId="0" xfId="1" applyNumberFormat="1" applyFont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3" fontId="6" fillId="0" borderId="1" xfId="1" applyNumberFormat="1" applyFont="1" applyFill="1" applyBorder="1" applyAlignment="1">
      <alignment vertical="center"/>
    </xf>
    <xf numFmtId="166" fontId="6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vertical="center"/>
    </xf>
    <xf numFmtId="164" fontId="5" fillId="0" borderId="2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7" fillId="0" borderId="0" xfId="1" applyFont="1" applyFill="1"/>
    <xf numFmtId="0" fontId="16" fillId="5" borderId="2" xfId="0" applyNumberFormat="1" applyFont="1" applyFill="1" applyBorder="1" applyAlignment="1">
      <alignment horizontal="center" vertical="top" wrapText="1"/>
    </xf>
    <xf numFmtId="0" fontId="17" fillId="5" borderId="2" xfId="0" applyNumberFormat="1" applyFont="1" applyFill="1" applyBorder="1" applyAlignment="1">
      <alignment horizontal="left" vertical="top" wrapText="1"/>
    </xf>
    <xf numFmtId="0" fontId="18" fillId="5" borderId="2" xfId="0" applyNumberFormat="1" applyFont="1" applyFill="1" applyBorder="1" applyAlignment="1">
      <alignment horizontal="left" vertical="top" wrapText="1"/>
    </xf>
    <xf numFmtId="4" fontId="12" fillId="0" borderId="2" xfId="0" applyNumberFormat="1" applyFont="1" applyBorder="1"/>
    <xf numFmtId="3" fontId="0" fillId="0" borderId="0" xfId="0" applyNumberFormat="1"/>
    <xf numFmtId="3" fontId="0" fillId="4" borderId="0" xfId="0" applyNumberFormat="1" applyFill="1"/>
    <xf numFmtId="4" fontId="12" fillId="4" borderId="2" xfId="0" applyNumberFormat="1" applyFont="1" applyFill="1" applyBorder="1"/>
    <xf numFmtId="3" fontId="12" fillId="4" borderId="2" xfId="0" applyNumberFormat="1" applyFont="1" applyFill="1" applyBorder="1"/>
    <xf numFmtId="4" fontId="12" fillId="0" borderId="2" xfId="0" applyNumberFormat="1" applyFont="1" applyFill="1" applyBorder="1"/>
    <xf numFmtId="3" fontId="15" fillId="0" borderId="2" xfId="0" applyNumberFormat="1" applyFont="1" applyFill="1" applyBorder="1"/>
    <xf numFmtId="3" fontId="12" fillId="0" borderId="2" xfId="0" applyNumberFormat="1" applyFont="1" applyFill="1" applyBorder="1"/>
    <xf numFmtId="167" fontId="0" fillId="0" borderId="0" xfId="0" applyNumberFormat="1"/>
    <xf numFmtId="3" fontId="12" fillId="0" borderId="2" xfId="0" applyNumberFormat="1" applyFont="1" applyBorder="1"/>
    <xf numFmtId="3" fontId="15" fillId="0" borderId="2" xfId="0" applyNumberFormat="1" applyFont="1" applyBorder="1"/>
    <xf numFmtId="0" fontId="0" fillId="0" borderId="0" xfId="0" applyAlignment="1">
      <alignment horizontal="center"/>
    </xf>
    <xf numFmtId="0" fontId="14" fillId="5" borderId="7" xfId="0" applyNumberFormat="1" applyFont="1" applyFill="1" applyBorder="1" applyAlignment="1">
      <alignment horizontal="left" vertical="top" wrapText="1"/>
    </xf>
    <xf numFmtId="4" fontId="15" fillId="0" borderId="2" xfId="0" applyNumberFormat="1" applyFont="1" applyBorder="1"/>
    <xf numFmtId="0" fontId="12" fillId="0" borderId="0" xfId="0" applyFont="1"/>
    <xf numFmtId="1" fontId="15" fillId="0" borderId="0" xfId="0" applyNumberFormat="1" applyFont="1"/>
    <xf numFmtId="1" fontId="12" fillId="0" borderId="0" xfId="0" applyNumberFormat="1" applyFont="1"/>
    <xf numFmtId="0" fontId="9" fillId="0" borderId="0" xfId="1" applyFont="1"/>
    <xf numFmtId="1" fontId="9" fillId="0" borderId="0" xfId="1" applyNumberFormat="1" applyFont="1"/>
    <xf numFmtId="1" fontId="11" fillId="0" borderId="0" xfId="1" applyNumberFormat="1" applyFont="1"/>
    <xf numFmtId="0" fontId="11" fillId="0" borderId="0" xfId="1" applyFont="1"/>
    <xf numFmtId="0" fontId="18" fillId="4" borderId="2" xfId="0" applyNumberFormat="1" applyFont="1" applyFill="1" applyBorder="1" applyAlignment="1">
      <alignment horizontal="left" vertical="top" wrapText="1"/>
    </xf>
    <xf numFmtId="1" fontId="12" fillId="4" borderId="0" xfId="0" applyNumberFormat="1" applyFont="1" applyFill="1"/>
    <xf numFmtId="167" fontId="5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167" fontId="5" fillId="0" borderId="2" xfId="1" applyNumberFormat="1" applyFont="1" applyFill="1" applyBorder="1" applyAlignment="1">
      <alignment vertical="center"/>
    </xf>
    <xf numFmtId="166" fontId="5" fillId="0" borderId="2" xfId="1" applyNumberFormat="1" applyFont="1" applyFill="1" applyBorder="1" applyAlignment="1">
      <alignment vertical="center"/>
    </xf>
    <xf numFmtId="0" fontId="17" fillId="6" borderId="2" xfId="0" applyNumberFormat="1" applyFont="1" applyFill="1" applyBorder="1" applyAlignment="1">
      <alignment horizontal="left" vertical="top" wrapText="1"/>
    </xf>
    <xf numFmtId="4" fontId="12" fillId="6" borderId="2" xfId="0" applyNumberFormat="1" applyFont="1" applyFill="1" applyBorder="1"/>
    <xf numFmtId="3" fontId="15" fillId="6" borderId="2" xfId="0" applyNumberFormat="1" applyFont="1" applyFill="1" applyBorder="1"/>
    <xf numFmtId="0" fontId="18" fillId="6" borderId="2" xfId="0" applyNumberFormat="1" applyFont="1" applyFill="1" applyBorder="1" applyAlignment="1">
      <alignment horizontal="left" vertical="top" wrapText="1"/>
    </xf>
    <xf numFmtId="3" fontId="12" fillId="6" borderId="2" xfId="0" applyNumberFormat="1" applyFont="1" applyFill="1" applyBorder="1"/>
    <xf numFmtId="0" fontId="17" fillId="3" borderId="2" xfId="0" applyNumberFormat="1" applyFont="1" applyFill="1" applyBorder="1" applyAlignment="1">
      <alignment horizontal="left" vertical="top" wrapText="1"/>
    </xf>
    <xf numFmtId="4" fontId="12" fillId="3" borderId="2" xfId="0" applyNumberFormat="1" applyFont="1" applyFill="1" applyBorder="1"/>
    <xf numFmtId="3" fontId="15" fillId="3" borderId="2" xfId="0" applyNumberFormat="1" applyFont="1" applyFill="1" applyBorder="1"/>
    <xf numFmtId="0" fontId="18" fillId="3" borderId="2" xfId="0" applyNumberFormat="1" applyFont="1" applyFill="1" applyBorder="1" applyAlignment="1">
      <alignment horizontal="left" vertical="top" wrapText="1"/>
    </xf>
    <xf numFmtId="3" fontId="12" fillId="3" borderId="2" xfId="0" applyNumberFormat="1" applyFont="1" applyFill="1" applyBorder="1"/>
    <xf numFmtId="3" fontId="5" fillId="4" borderId="1" xfId="1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horizontal="left" vertical="top" wrapText="1"/>
    </xf>
    <xf numFmtId="4" fontId="15" fillId="2" borderId="2" xfId="0" applyNumberFormat="1" applyFont="1" applyFill="1" applyBorder="1"/>
    <xf numFmtId="0" fontId="18" fillId="2" borderId="2" xfId="0" applyNumberFormat="1" applyFont="1" applyFill="1" applyBorder="1" applyAlignment="1">
      <alignment horizontal="left" vertical="top" wrapText="1"/>
    </xf>
    <xf numFmtId="4" fontId="12" fillId="2" borderId="2" xfId="0" applyNumberFormat="1" applyFont="1" applyFill="1" applyBorder="1"/>
    <xf numFmtId="0" fontId="4" fillId="3" borderId="2" xfId="1" applyFont="1" applyFill="1" applyBorder="1" applyAlignment="1">
      <alignment horizontal="center" vertical="center" wrapText="1"/>
    </xf>
    <xf numFmtId="0" fontId="19" fillId="5" borderId="7" xfId="0" applyNumberFormat="1" applyFont="1" applyFill="1" applyBorder="1" applyAlignment="1">
      <alignment horizontal="left" vertical="top" wrapText="1"/>
    </xf>
    <xf numFmtId="0" fontId="16" fillId="5" borderId="2" xfId="0" applyNumberFormat="1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vertical="center"/>
    </xf>
    <xf numFmtId="166" fontId="5" fillId="4" borderId="1" xfId="1" applyNumberFormat="1" applyFont="1" applyFill="1" applyBorder="1" applyAlignment="1">
      <alignment vertical="center"/>
    </xf>
    <xf numFmtId="3" fontId="5" fillId="0" borderId="0" xfId="1" applyNumberFormat="1" applyFont="1"/>
    <xf numFmtId="0" fontId="19" fillId="5" borderId="9" xfId="0" applyNumberFormat="1" applyFont="1" applyFill="1" applyBorder="1" applyAlignment="1">
      <alignment horizontal="left" vertical="top" wrapText="1"/>
    </xf>
    <xf numFmtId="0" fontId="14" fillId="5" borderId="9" xfId="0" applyNumberFormat="1" applyFont="1" applyFill="1" applyBorder="1" applyAlignment="1">
      <alignment horizontal="left" vertical="top" wrapText="1"/>
    </xf>
    <xf numFmtId="4" fontId="9" fillId="0" borderId="2" xfId="1" applyNumberFormat="1" applyFont="1" applyBorder="1"/>
    <xf numFmtId="167" fontId="5" fillId="0" borderId="0" xfId="1" applyNumberFormat="1" applyFont="1"/>
    <xf numFmtId="0" fontId="19" fillId="5" borderId="7" xfId="0" applyNumberFormat="1" applyFont="1" applyFill="1" applyBorder="1" applyAlignment="1">
      <alignment horizontal="left" vertical="top" wrapText="1"/>
    </xf>
    <xf numFmtId="4" fontId="19" fillId="5" borderId="7" xfId="0" applyNumberFormat="1" applyFont="1" applyFill="1" applyBorder="1" applyAlignment="1">
      <alignment horizontal="right" vertical="top" wrapText="1"/>
    </xf>
    <xf numFmtId="4" fontId="24" fillId="5" borderId="7" xfId="0" applyNumberFormat="1" applyFont="1" applyFill="1" applyBorder="1" applyAlignment="1">
      <alignment horizontal="right" vertical="top" wrapText="1"/>
    </xf>
    <xf numFmtId="4" fontId="14" fillId="5" borderId="7" xfId="0" applyNumberFormat="1" applyFont="1" applyFill="1" applyBorder="1" applyAlignment="1">
      <alignment horizontal="right" vertical="top" wrapText="1"/>
    </xf>
    <xf numFmtId="0" fontId="24" fillId="5" borderId="7" xfId="0" applyNumberFormat="1" applyFont="1" applyFill="1" applyBorder="1" applyAlignment="1">
      <alignment horizontal="left" vertical="top" wrapText="1"/>
    </xf>
    <xf numFmtId="0" fontId="25" fillId="5" borderId="2" xfId="0" applyNumberFormat="1" applyFont="1" applyFill="1" applyBorder="1" applyAlignment="1">
      <alignment horizontal="left" vertical="top" wrapText="1"/>
    </xf>
    <xf numFmtId="0" fontId="26" fillId="0" borderId="0" xfId="0" applyFont="1"/>
    <xf numFmtId="0" fontId="25" fillId="5" borderId="2" xfId="0" applyNumberFormat="1" applyFont="1" applyFill="1" applyBorder="1" applyAlignment="1">
      <alignment horizontal="left" vertical="top"/>
    </xf>
    <xf numFmtId="4" fontId="26" fillId="0" borderId="2" xfId="0" applyNumberFormat="1" applyFont="1" applyBorder="1"/>
    <xf numFmtId="0" fontId="27" fillId="5" borderId="2" xfId="0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4" fontId="28" fillId="0" borderId="2" xfId="0" applyNumberFormat="1" applyFont="1" applyBorder="1"/>
    <xf numFmtId="0" fontId="21" fillId="0" borderId="0" xfId="6" applyFont="1" applyAlignment="1">
      <alignment horizontal="center" vertical="center"/>
    </xf>
    <xf numFmtId="49" fontId="21" fillId="0" borderId="0" xfId="6" applyNumberFormat="1" applyFont="1" applyAlignment="1">
      <alignment horizontal="center" vertical="center"/>
    </xf>
    <xf numFmtId="0" fontId="21" fillId="0" borderId="0" xfId="6" applyFont="1"/>
    <xf numFmtId="0" fontId="23" fillId="0" borderId="0" xfId="1" applyFont="1" applyAlignment="1"/>
    <xf numFmtId="0" fontId="23" fillId="7" borderId="2" xfId="6" applyFont="1" applyFill="1" applyBorder="1" applyAlignment="1">
      <alignment horizontal="center" vertical="center"/>
    </xf>
    <xf numFmtId="49" fontId="23" fillId="7" borderId="2" xfId="6" applyNumberFormat="1" applyFont="1" applyFill="1" applyBorder="1" applyAlignment="1">
      <alignment horizontal="center" vertical="center" wrapText="1"/>
    </xf>
    <xf numFmtId="0" fontId="23" fillId="7" borderId="2" xfId="6" applyFont="1" applyFill="1" applyBorder="1" applyAlignment="1">
      <alignment horizontal="center" vertical="center" wrapText="1"/>
    </xf>
    <xf numFmtId="0" fontId="23" fillId="7" borderId="2" xfId="6" applyFont="1" applyFill="1" applyBorder="1" applyAlignment="1">
      <alignment horizontal="center"/>
    </xf>
    <xf numFmtId="0" fontId="23" fillId="0" borderId="2" xfId="6" applyFont="1" applyBorder="1" applyAlignment="1">
      <alignment horizontal="center" vertical="center"/>
    </xf>
    <xf numFmtId="0" fontId="21" fillId="7" borderId="2" xfId="6" applyFont="1" applyFill="1" applyBorder="1" applyAlignment="1">
      <alignment horizontal="center" vertical="center"/>
    </xf>
    <xf numFmtId="49" fontId="21" fillId="7" borderId="2" xfId="6" applyNumberFormat="1" applyFont="1" applyFill="1" applyBorder="1" applyAlignment="1">
      <alignment horizontal="center" vertical="center"/>
    </xf>
    <xf numFmtId="0" fontId="21" fillId="7" borderId="2" xfId="6" applyFont="1" applyFill="1" applyBorder="1" applyAlignment="1">
      <alignment wrapText="1"/>
    </xf>
    <xf numFmtId="0" fontId="21" fillId="0" borderId="2" xfId="6" applyFont="1" applyBorder="1"/>
    <xf numFmtId="3" fontId="21" fillId="0" borderId="2" xfId="6" applyNumberFormat="1" applyFont="1" applyBorder="1"/>
    <xf numFmtId="0" fontId="21" fillId="0" borderId="2" xfId="6" applyFont="1" applyBorder="1" applyAlignment="1">
      <alignment horizontal="left" vertical="center"/>
    </xf>
    <xf numFmtId="49" fontId="21" fillId="0" borderId="2" xfId="6" applyNumberFormat="1" applyFont="1" applyBorder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21" fillId="7" borderId="2" xfId="6" applyFont="1" applyFill="1" applyBorder="1" applyAlignment="1">
      <alignment horizontal="left" vertical="center" wrapText="1"/>
    </xf>
    <xf numFmtId="0" fontId="21" fillId="7" borderId="2" xfId="6" applyFont="1" applyFill="1" applyBorder="1" applyAlignment="1">
      <alignment horizontal="left" vertical="center"/>
    </xf>
    <xf numFmtId="0" fontId="21" fillId="0" borderId="2" xfId="6" applyFont="1" applyBorder="1" applyAlignment="1">
      <alignment vertical="center" wrapText="1"/>
    </xf>
    <xf numFmtId="3" fontId="21" fillId="0" borderId="2" xfId="6" applyNumberFormat="1" applyFont="1" applyFill="1" applyBorder="1" applyAlignment="1">
      <alignment horizontal="right"/>
    </xf>
    <xf numFmtId="0" fontId="21" fillId="0" borderId="2" xfId="6" applyFont="1" applyBorder="1" applyAlignment="1">
      <alignment wrapText="1"/>
    </xf>
    <xf numFmtId="0" fontId="21" fillId="0" borderId="2" xfId="6" applyFont="1" applyBorder="1" applyAlignment="1">
      <alignment horizontal="left" vertical="center" wrapText="1"/>
    </xf>
    <xf numFmtId="0" fontId="21" fillId="0" borderId="0" xfId="6" applyFont="1" applyBorder="1" applyAlignment="1">
      <alignment horizontal="center" vertical="center"/>
    </xf>
    <xf numFmtId="49" fontId="21" fillId="8" borderId="2" xfId="6" applyNumberFormat="1" applyFont="1" applyFill="1" applyBorder="1" applyAlignment="1">
      <alignment horizontal="center" vertical="center"/>
    </xf>
    <xf numFmtId="0" fontId="21" fillId="8" borderId="2" xfId="6" applyFont="1" applyFill="1" applyBorder="1" applyAlignment="1">
      <alignment horizontal="center" vertical="center"/>
    </xf>
    <xf numFmtId="0" fontId="21" fillId="8" borderId="2" xfId="6" applyFont="1" applyFill="1" applyBorder="1" applyAlignment="1">
      <alignment horizontal="left" vertical="top" wrapText="1"/>
    </xf>
    <xf numFmtId="0" fontId="21" fillId="8" borderId="2" xfId="6" applyFont="1" applyFill="1" applyBorder="1"/>
    <xf numFmtId="3" fontId="21" fillId="8" borderId="2" xfId="6" applyNumberFormat="1" applyFont="1" applyFill="1" applyBorder="1"/>
    <xf numFmtId="0" fontId="21" fillId="7" borderId="0" xfId="6" applyFont="1" applyFill="1" applyBorder="1" applyAlignment="1">
      <alignment horizontal="center" vertical="center"/>
    </xf>
    <xf numFmtId="49" fontId="21" fillId="0" borderId="0" xfId="6" applyNumberFormat="1" applyFont="1" applyBorder="1" applyAlignment="1">
      <alignment horizontal="center" vertical="center"/>
    </xf>
    <xf numFmtId="0" fontId="21" fillId="0" borderId="0" xfId="6" applyFont="1" applyBorder="1" applyAlignment="1">
      <alignment horizontal="left" wrapText="1"/>
    </xf>
    <xf numFmtId="0" fontId="21" fillId="0" borderId="0" xfId="6" applyFont="1" applyBorder="1"/>
    <xf numFmtId="3" fontId="21" fillId="0" borderId="0" xfId="6" applyNumberFormat="1" applyFont="1" applyFill="1" applyBorder="1" applyAlignment="1">
      <alignment horizontal="right"/>
    </xf>
    <xf numFmtId="49" fontId="21" fillId="9" borderId="2" xfId="6" applyNumberFormat="1" applyFont="1" applyFill="1" applyBorder="1" applyAlignment="1">
      <alignment horizontal="center" vertical="center"/>
    </xf>
    <xf numFmtId="0" fontId="21" fillId="9" borderId="2" xfId="6" applyFont="1" applyFill="1" applyBorder="1" applyAlignment="1">
      <alignment horizontal="center" vertical="center"/>
    </xf>
    <xf numFmtId="0" fontId="21" fillId="9" borderId="2" xfId="6" applyFont="1" applyFill="1" applyBorder="1" applyAlignment="1">
      <alignment horizontal="left" vertical="top" wrapText="1"/>
    </xf>
    <xf numFmtId="0" fontId="21" fillId="9" borderId="2" xfId="6" applyFont="1" applyFill="1" applyBorder="1" applyAlignment="1">
      <alignment horizontal="left" vertical="center"/>
    </xf>
    <xf numFmtId="3" fontId="21" fillId="9" borderId="2" xfId="6" applyNumberFormat="1" applyFont="1" applyFill="1" applyBorder="1" applyAlignment="1">
      <alignment horizontal="right" vertical="center"/>
    </xf>
    <xf numFmtId="0" fontId="21" fillId="9" borderId="2" xfId="6" applyFont="1" applyFill="1" applyBorder="1"/>
    <xf numFmtId="3" fontId="21" fillId="9" borderId="2" xfId="6" applyNumberFormat="1" applyFont="1" applyFill="1" applyBorder="1"/>
    <xf numFmtId="4" fontId="21" fillId="0" borderId="2" xfId="6" applyNumberFormat="1" applyFont="1" applyBorder="1"/>
    <xf numFmtId="0" fontId="23" fillId="0" borderId="0" xfId="6" applyFont="1" applyBorder="1" applyAlignment="1">
      <alignment horizontal="center" vertical="center"/>
    </xf>
    <xf numFmtId="49" fontId="23" fillId="8" borderId="2" xfId="6" applyNumberFormat="1" applyFont="1" applyFill="1" applyBorder="1" applyAlignment="1">
      <alignment horizontal="center" vertical="center"/>
    </xf>
    <xf numFmtId="0" fontId="23" fillId="8" borderId="2" xfId="6" applyFont="1" applyFill="1" applyBorder="1" applyAlignment="1">
      <alignment horizontal="center" vertical="center"/>
    </xf>
    <xf numFmtId="0" fontId="23" fillId="8" borderId="2" xfId="6" applyFont="1" applyFill="1" applyBorder="1" applyAlignment="1">
      <alignment horizontal="left" vertical="top" wrapText="1"/>
    </xf>
    <xf numFmtId="0" fontId="23" fillId="8" borderId="2" xfId="6" applyFont="1" applyFill="1" applyBorder="1"/>
    <xf numFmtId="3" fontId="23" fillId="8" borderId="2" xfId="6" applyNumberFormat="1" applyFont="1" applyFill="1" applyBorder="1"/>
    <xf numFmtId="3" fontId="23" fillId="0" borderId="2" xfId="6" applyNumberFormat="1" applyFont="1" applyFill="1" applyBorder="1"/>
    <xf numFmtId="0" fontId="23" fillId="0" borderId="0" xfId="6" applyFont="1"/>
    <xf numFmtId="0" fontId="14" fillId="10" borderId="7" xfId="0" applyNumberFormat="1" applyFont="1" applyFill="1" applyBorder="1" applyAlignment="1">
      <alignment horizontal="left" vertical="top" wrapText="1"/>
    </xf>
    <xf numFmtId="4" fontId="14" fillId="10" borderId="7" xfId="0" applyNumberFormat="1" applyFont="1" applyFill="1" applyBorder="1" applyAlignment="1">
      <alignment horizontal="right" vertical="top" wrapText="1"/>
    </xf>
    <xf numFmtId="0" fontId="14" fillId="0" borderId="7" xfId="0" applyNumberFormat="1" applyFont="1" applyFill="1" applyBorder="1" applyAlignment="1">
      <alignment horizontal="left" vertical="top" wrapText="1"/>
    </xf>
    <xf numFmtId="4" fontId="14" fillId="0" borderId="7" xfId="0" applyNumberFormat="1" applyFont="1" applyFill="1" applyBorder="1" applyAlignment="1">
      <alignment horizontal="right" vertical="top" wrapText="1"/>
    </xf>
    <xf numFmtId="9" fontId="0" fillId="0" borderId="0" xfId="2" applyFont="1"/>
    <xf numFmtId="0" fontId="31" fillId="0" borderId="0" xfId="1" applyFont="1"/>
    <xf numFmtId="0" fontId="1" fillId="0" borderId="0" xfId="1" applyFont="1"/>
    <xf numFmtId="0" fontId="38" fillId="0" borderId="2" xfId="1" applyFont="1" applyBorder="1" applyAlignment="1">
      <alignment horizontal="center" vertical="center" wrapText="1"/>
    </xf>
    <xf numFmtId="0" fontId="38" fillId="0" borderId="2" xfId="1" quotePrefix="1" applyFont="1" applyFill="1" applyBorder="1" applyAlignment="1">
      <alignment horizontal="center" vertical="center" wrapText="1"/>
    </xf>
    <xf numFmtId="0" fontId="38" fillId="0" borderId="2" xfId="1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0" borderId="0" xfId="1" applyFont="1" applyAlignment="1">
      <alignment vertical="center"/>
    </xf>
    <xf numFmtId="4" fontId="1" fillId="0" borderId="0" xfId="1" applyNumberFormat="1" applyFont="1"/>
    <xf numFmtId="0" fontId="39" fillId="0" borderId="0" xfId="0" applyFont="1" applyAlignment="1">
      <alignment horizontal="justify" vertical="center" wrapText="1"/>
    </xf>
    <xf numFmtId="0" fontId="36" fillId="0" borderId="0" xfId="1" applyFont="1" applyAlignment="1">
      <alignment horizontal="right" wrapText="1"/>
    </xf>
    <xf numFmtId="0" fontId="37" fillId="0" borderId="2" xfId="1" applyFont="1" applyFill="1" applyBorder="1" applyAlignment="1">
      <alignment horizontal="center" vertical="center" wrapText="1"/>
    </xf>
    <xf numFmtId="0" fontId="19" fillId="5" borderId="7" xfId="0" applyNumberFormat="1" applyFont="1" applyFill="1" applyBorder="1" applyAlignment="1">
      <alignment horizontal="left" vertical="top" wrapText="1"/>
    </xf>
    <xf numFmtId="0" fontId="25" fillId="5" borderId="2" xfId="0" applyNumberFormat="1" applyFont="1" applyFill="1" applyBorder="1" applyAlignment="1">
      <alignment horizontal="center" vertical="top" wrapText="1"/>
    </xf>
    <xf numFmtId="0" fontId="25" fillId="5" borderId="2" xfId="0" applyNumberFormat="1" applyFont="1" applyFill="1" applyBorder="1" applyAlignment="1">
      <alignment horizontal="left" vertical="top" wrapText="1"/>
    </xf>
    <xf numFmtId="0" fontId="21" fillId="0" borderId="0" xfId="6" applyFont="1" applyAlignment="1">
      <alignment horizontal="right" vertical="center" wrapText="1"/>
    </xf>
    <xf numFmtId="0" fontId="23" fillId="0" borderId="0" xfId="1" applyFont="1" applyAlignment="1">
      <alignment horizontal="center" vertical="center"/>
    </xf>
    <xf numFmtId="3" fontId="21" fillId="0" borderId="8" xfId="6" applyNumberFormat="1" applyFont="1" applyFill="1" applyBorder="1" applyAlignment="1">
      <alignment horizontal="center" vertical="center"/>
    </xf>
    <xf numFmtId="3" fontId="21" fillId="0" borderId="10" xfId="6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top" wrapText="1"/>
    </xf>
    <xf numFmtId="0" fontId="16" fillId="0" borderId="6" xfId="0" applyNumberFormat="1" applyFont="1" applyFill="1" applyBorder="1" applyAlignment="1">
      <alignment horizontal="center" vertical="top" wrapText="1"/>
    </xf>
    <xf numFmtId="0" fontId="16" fillId="5" borderId="2" xfId="0" applyNumberFormat="1" applyFont="1" applyFill="1" applyBorder="1" applyAlignment="1">
      <alignment horizontal="left" vertical="top" wrapText="1"/>
    </xf>
    <xf numFmtId="0" fontId="19" fillId="5" borderId="9" xfId="0" applyNumberFormat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4" fillId="0" borderId="0" xfId="1" applyFont="1" applyBorder="1" applyAlignment="1">
      <alignment horizontal="center" wrapText="1"/>
    </xf>
    <xf numFmtId="0" fontId="37" fillId="0" borderId="2" xfId="1" applyFont="1" applyBorder="1" applyAlignment="1">
      <alignment horizontal="center" vertical="center" wrapText="1"/>
    </xf>
    <xf numFmtId="0" fontId="40" fillId="0" borderId="2" xfId="1" applyFont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center" wrapText="1"/>
    </xf>
    <xf numFmtId="0" fontId="31" fillId="0" borderId="2" xfId="1" applyFont="1" applyBorder="1" applyAlignment="1">
      <alignment wrapText="1"/>
    </xf>
    <xf numFmtId="0" fontId="32" fillId="0" borderId="3" xfId="1" applyFont="1" applyFill="1" applyBorder="1" applyAlignment="1">
      <alignment horizontal="right"/>
    </xf>
    <xf numFmtId="0" fontId="32" fillId="0" borderId="4" xfId="1" applyFont="1" applyFill="1" applyBorder="1" applyAlignment="1">
      <alignment horizontal="right"/>
    </xf>
    <xf numFmtId="0" fontId="32" fillId="0" borderId="5" xfId="1" applyFont="1" applyFill="1" applyBorder="1" applyAlignment="1">
      <alignment horizontal="right"/>
    </xf>
  </cellXfs>
  <cellStyles count="8">
    <cellStyle name="S7" xfId="7"/>
    <cellStyle name="Обычный" xfId="0" builtinId="0"/>
    <cellStyle name="Обычный 2" xfId="5"/>
    <cellStyle name="Обычный 2 2" xfId="6"/>
    <cellStyle name="Обычный 3" xfId="1"/>
    <cellStyle name="Обычный 87" xfId="3"/>
    <cellStyle name="Процентный" xfId="2" builtinId="5"/>
    <cellStyle name="Финансовый 2" xfId="4"/>
  </cellStyles>
  <dxfs count="0"/>
  <tableStyles count="0" defaultTableStyle="TableStyleMedium2" defaultPivotStyle="PivotStyleLight16"/>
  <colors>
    <mruColors>
      <color rgb="FFFFCCFF"/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333375</xdr:colOff>
          <xdr:row>56</xdr:row>
          <xdr:rowOff>9525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Documents%20and%20Settings\&#1040;&#1083;&#1077;&#1082;&#1089;&#1077;&#1081;\&#1056;&#1072;&#1073;&#1086;&#1095;&#1080;&#1081;%20&#1089;&#1090;&#1086;&#1083;\&#1050;&#1086;&#1087;&#1080;&#1103;%20tset.net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0;&#1071;/&#1056;&#1077;&#1075;&#1091;&#1083;&#1080;&#1088;&#1086;&#1074;&#1072;&#1085;&#1080;&#1077;/&#1056;&#1077;&#1075;&#1091;&#1083;&#1080;&#1088;&#1086;&#1074;&#1072;&#1085;&#1080;&#1077;%202012/&#1086;&#1092;&#1080;&#1094;.&#1074;&#1077;&#1088;&#1089;&#1080;&#1103;%20&#1079;&#1072;&#1103;&#1074;&#1082;&#1072;1(290411)/&#1058;&#1072;&#1088;&#1080;&#1092;&#1085;&#1072;&#1103;%20&#1079;&#1072;&#1103;&#1074;&#1082;&#1072;%20&#1051;&#1054;&#1069;&#1057;&#1050;%2029.04.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72;&#1085;&#1090;&#1080;&#1085;&#1072;\&#1040;&#1052;&#1054;&#1056;&#1058;&#1048;&#1047;&#1040;&#1062;&#1048;&#1071;%20&#1080;%20&#1053;&#1040;&#1051;&#1054;&#1043;&#1048;\2013\&#1042;&#1099;&#1073;&#1086;&#1088;&#1075;_&#1072;&#1085;&#1072;&#1083;&#1080;&#1090;&#1080;&#1082;&#1072;%20&#1054;&#1057;%20&#1085;&#1072;%2001.01.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EKDEB90"/>
      <sheetName val="Смета_"/>
      <sheetName val="на_1_тут"/>
      <sheetName val="ВАРИАНТ_3_РАБОЧИЙ"/>
      <sheetName val="план_2000"/>
      <sheetName val="Главная_для_ТП"/>
      <sheetName val="1_15_(д_б_)"/>
      <sheetName val="T0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БЗ"/>
      <sheetName val="Свод сметы"/>
      <sheetName val="Handbook"/>
      <sheetName val="Автозаполнение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ПРОГНОЗ_1"/>
      <sheetName val="Гр5(о)"/>
      <sheetName val="ФБР"/>
    </sheetNames>
    <sheetDataSet>
      <sheetData sheetId="0" refreshError="1"/>
      <sheetData sheetId="1" refreshError="1"/>
      <sheetData sheetId="2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</sheetNames>
    <sheetDataSet>
      <sheetData sheetId="0" refreshError="1"/>
      <sheetData sheetId="1" refreshError="1"/>
      <sheetData sheetId="2">
        <row r="5">
          <cell r="G5">
            <v>4551113.38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IRR"/>
      <sheetName val="сводная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>
        <row r="13">
          <cell r="G13">
            <v>2101537.73</v>
          </cell>
        </row>
      </sheetData>
      <sheetData sheetId="21">
        <row r="5">
          <cell r="G5">
            <v>2222938.4948999998</v>
          </cell>
        </row>
      </sheetData>
      <sheetData sheetId="22">
        <row r="13">
          <cell r="G13">
            <v>2101537.73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>
        <row r="13">
          <cell r="G13">
            <v>2101537.73</v>
          </cell>
        </row>
      </sheetData>
      <sheetData sheetId="40">
        <row r="5">
          <cell r="G5">
            <v>2222938.4948999998</v>
          </cell>
        </row>
      </sheetData>
      <sheetData sheetId="41">
        <row r="13">
          <cell r="G13">
            <v>2101537.73</v>
          </cell>
        </row>
      </sheetData>
      <sheetData sheetId="42">
        <row r="5">
          <cell r="G5">
            <v>2222938.4948999998</v>
          </cell>
        </row>
      </sheetData>
      <sheetData sheetId="43">
        <row r="13">
          <cell r="G13">
            <v>2101537.73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/>
      <sheetData sheetId="47"/>
      <sheetData sheetId="48">
        <row r="5">
          <cell r="G5">
            <v>2222938.4948999998</v>
          </cell>
        </row>
      </sheetData>
      <sheetData sheetId="49"/>
      <sheetData sheetId="50">
        <row r="13">
          <cell r="G13">
            <v>2101537.73</v>
          </cell>
        </row>
      </sheetData>
      <sheetData sheetId="51"/>
      <sheetData sheetId="52"/>
      <sheetData sheetId="53">
        <row r="5">
          <cell r="G5">
            <v>2222938.4948999998</v>
          </cell>
        </row>
      </sheetData>
      <sheetData sheetId="54"/>
      <sheetData sheetId="55" refreshError="1"/>
      <sheetData sheetId="56">
        <row r="5">
          <cell r="G5">
            <v>2222938.4948999998</v>
          </cell>
        </row>
      </sheetData>
      <sheetData sheetId="57" refreshError="1"/>
      <sheetData sheetId="58" refreshError="1"/>
      <sheetData sheetId="59"/>
      <sheetData sheetId="60">
        <row r="13">
          <cell r="G13">
            <v>2101537.73</v>
          </cell>
        </row>
      </sheetData>
      <sheetData sheetId="61"/>
      <sheetData sheetId="62"/>
      <sheetData sheetId="63">
        <row r="5">
          <cell r="G5">
            <v>2222938.4948999998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>
        <row r="6">
          <cell r="D6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списки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FES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FST5"/>
      <sheetName val="3"/>
      <sheetName val="5"/>
      <sheetName val="P2.2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>
        <row r="2">
          <cell r="A2">
            <v>0</v>
          </cell>
        </row>
      </sheetData>
      <sheetData sheetId="273"/>
      <sheetData sheetId="274"/>
      <sheetData sheetId="275"/>
      <sheetData sheetId="276"/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3"/>
      <sheetName val="4"/>
      <sheetName val="5"/>
      <sheetName val="15"/>
      <sheetName val="другие"/>
      <sheetName val="16"/>
      <sheetName val="17"/>
      <sheetName val="17.1"/>
      <sheetName val="18"/>
      <sheetName val="ОПР -25 счет"/>
      <sheetName val="ОХР -26 счет"/>
      <sheetName val="20"/>
      <sheetName val="20.1"/>
      <sheetName val="21"/>
      <sheetName val="Расчет долгосрочных параметров"/>
      <sheetName val="25"/>
      <sheetName val="тарифы"/>
      <sheetName val="P2.1"/>
      <sheetName val="P2.2"/>
      <sheetName val="2.3"/>
      <sheetName val="заполняется ЛенРТК"/>
    </sheetNames>
    <sheetDataSet>
      <sheetData sheetId="0"/>
      <sheetData sheetId="1">
        <row r="2">
          <cell r="B2" t="str">
            <v>Ленинградская областная управляющая электросетевая компания</v>
          </cell>
        </row>
      </sheetData>
      <sheetData sheetId="2"/>
      <sheetData sheetId="3">
        <row r="11">
          <cell r="G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L12">
            <v>0</v>
          </cell>
          <cell r="M12">
            <v>0</v>
          </cell>
          <cell r="N12">
            <v>1560.683039</v>
          </cell>
          <cell r="O12">
            <v>0</v>
          </cell>
          <cell r="Q12">
            <v>0</v>
          </cell>
          <cell r="R12">
            <v>0</v>
          </cell>
          <cell r="S12">
            <v>1560.4132296207915</v>
          </cell>
          <cell r="T12">
            <v>0</v>
          </cell>
          <cell r="V12">
            <v>0</v>
          </cell>
          <cell r="W12">
            <v>0</v>
          </cell>
          <cell r="X12">
            <v>1560.4132296207915</v>
          </cell>
          <cell r="Y12">
            <v>0</v>
          </cell>
          <cell r="AA12">
            <v>0</v>
          </cell>
          <cell r="AB12">
            <v>0</v>
          </cell>
          <cell r="AC12">
            <v>1535.8259374605962</v>
          </cell>
          <cell r="AD12">
            <v>0</v>
          </cell>
        </row>
        <row r="13">
          <cell r="L13">
            <v>0</v>
          </cell>
          <cell r="M13">
            <v>0</v>
          </cell>
          <cell r="N13">
            <v>660.68911789999993</v>
          </cell>
          <cell r="O13">
            <v>0</v>
          </cell>
          <cell r="Q13">
            <v>0</v>
          </cell>
          <cell r="R13">
            <v>0</v>
          </cell>
          <cell r="S13">
            <v>735.36887082812291</v>
          </cell>
          <cell r="T13">
            <v>0</v>
          </cell>
          <cell r="V13">
            <v>0</v>
          </cell>
          <cell r="W13">
            <v>0</v>
          </cell>
          <cell r="X13">
            <v>735.97535082812283</v>
          </cell>
          <cell r="Y13">
            <v>0</v>
          </cell>
          <cell r="AA13">
            <v>0</v>
          </cell>
          <cell r="AB13">
            <v>0</v>
          </cell>
          <cell r="AC13">
            <v>692.62761217551588</v>
          </cell>
          <cell r="AD13">
            <v>0</v>
          </cell>
        </row>
        <row r="14">
          <cell r="L14">
            <v>0</v>
          </cell>
          <cell r="M14">
            <v>0</v>
          </cell>
          <cell r="N14">
            <v>0</v>
          </cell>
          <cell r="O14">
            <v>1381.7578660049999</v>
          </cell>
          <cell r="Q14">
            <v>0</v>
          </cell>
          <cell r="R14">
            <v>0</v>
          </cell>
          <cell r="S14">
            <v>0</v>
          </cell>
          <cell r="T14">
            <v>1554.1870611080237</v>
          </cell>
          <cell r="V14">
            <v>0</v>
          </cell>
          <cell r="W14">
            <v>0</v>
          </cell>
          <cell r="X14">
            <v>0</v>
          </cell>
          <cell r="Y14">
            <v>1554.1875411080241</v>
          </cell>
          <cell r="AA14">
            <v>0</v>
          </cell>
          <cell r="AB14">
            <v>0</v>
          </cell>
          <cell r="AC14">
            <v>0</v>
          </cell>
          <cell r="AD14">
            <v>1416.2015180918261</v>
          </cell>
        </row>
        <row r="15"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L16">
            <v>1629.8443050000001</v>
          </cell>
          <cell r="M16">
            <v>674.20946099999992</v>
          </cell>
          <cell r="N16">
            <v>114.65762799999999</v>
          </cell>
          <cell r="O16">
            <v>1.801517</v>
          </cell>
          <cell r="Q16">
            <v>1577.9345596207916</v>
          </cell>
          <cell r="R16">
            <v>746.82925436794585</v>
          </cell>
          <cell r="S16">
            <v>109.00700145556931</v>
          </cell>
          <cell r="T16">
            <v>3.0492299999999997</v>
          </cell>
          <cell r="V16">
            <v>1577.9345596207916</v>
          </cell>
          <cell r="W16">
            <v>746.82925436794585</v>
          </cell>
          <cell r="X16">
            <v>109.00700145556931</v>
          </cell>
          <cell r="Y16">
            <v>3.0492299999999997</v>
          </cell>
          <cell r="AA16">
            <v>1549.7527074290163</v>
          </cell>
          <cell r="AB16">
            <v>707.32108911522084</v>
          </cell>
          <cell r="AC16">
            <v>131.81054153563417</v>
          </cell>
          <cell r="AD16">
            <v>1.7921253397434707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20">
          <cell r="G20">
            <v>1.6040000000000001</v>
          </cell>
          <cell r="H20">
            <v>1.2</v>
          </cell>
          <cell r="I20">
            <v>4.032</v>
          </cell>
          <cell r="J20">
            <v>0.2</v>
          </cell>
          <cell r="L20">
            <v>1.4996661519878285</v>
          </cell>
          <cell r="M20">
            <v>1.121097375738674</v>
          </cell>
          <cell r="N20">
            <v>3.7747561662034741</v>
          </cell>
          <cell r="O20">
            <v>0.18953269607002537</v>
          </cell>
          <cell r="V20">
            <v>1.6698894566853262</v>
          </cell>
          <cell r="W20">
            <v>1.2483502979527097</v>
          </cell>
          <cell r="X20">
            <v>4.203219173244543</v>
          </cell>
          <cell r="Y20">
            <v>0.21104607211742182</v>
          </cell>
          <cell r="AA20">
            <v>1.8423656337316903</v>
          </cell>
          <cell r="AB20">
            <v>1.3772873878562277</v>
          </cell>
          <cell r="AC20">
            <v>4.6373528048971471</v>
          </cell>
          <cell r="AD20">
            <v>0.23284417351493453</v>
          </cell>
        </row>
        <row r="22"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G23">
            <v>8.61</v>
          </cell>
          <cell r="H23">
            <v>17.05</v>
          </cell>
          <cell r="I23">
            <v>696.54</v>
          </cell>
          <cell r="J23">
            <v>1255.9409999999998</v>
          </cell>
          <cell r="L23">
            <v>67.661599848012173</v>
          </cell>
          <cell r="M23">
            <v>12.399245724261325</v>
          </cell>
          <cell r="N23">
            <v>765.15138272879653</v>
          </cell>
          <cell r="O23">
            <v>1193.43988755393</v>
          </cell>
          <cell r="Q23">
            <v>17.521329999999999</v>
          </cell>
          <cell r="R23">
            <v>10.85390353982301</v>
          </cell>
          <cell r="S23">
            <v>655.48477079646023</v>
          </cell>
          <cell r="T23">
            <v>1362.9699956637166</v>
          </cell>
          <cell r="V23">
            <v>15.851440543314673</v>
          </cell>
          <cell r="W23">
            <v>9.6055532418702896</v>
          </cell>
          <cell r="X23">
            <v>651.28155162321548</v>
          </cell>
          <cell r="Y23">
            <v>1362.7589495916027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7">
          <cell r="C57">
            <v>52883.979999999996</v>
          </cell>
        </row>
      </sheetData>
      <sheetData sheetId="11">
        <row r="38">
          <cell r="I38">
            <v>0</v>
          </cell>
        </row>
      </sheetData>
      <sheetData sheetId="12">
        <row r="13">
          <cell r="I13">
            <v>0</v>
          </cell>
        </row>
      </sheetData>
      <sheetData sheetId="13">
        <row r="9">
          <cell r="C9">
            <v>44534</v>
          </cell>
        </row>
      </sheetData>
      <sheetData sheetId="14"/>
      <sheetData sheetId="15"/>
      <sheetData sheetId="16"/>
      <sheetData sheetId="17"/>
      <sheetData sheetId="18">
        <row r="13">
          <cell r="C13" t="str">
            <v>571 990,89</v>
          </cell>
        </row>
      </sheetData>
      <sheetData sheetId="19">
        <row r="7">
          <cell r="F7">
            <v>800</v>
          </cell>
        </row>
      </sheetData>
      <sheetData sheetId="20"/>
      <sheetData sheetId="21">
        <row r="20">
          <cell r="F20">
            <v>55811.503999999994</v>
          </cell>
        </row>
      </sheetData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Выборг_аналитика ОС на 01.01"/>
    </sheetNames>
    <definedNames>
      <definedName name="P1_SCOPE_NOTIND"/>
      <definedName name="P2_SCOPE_FULL_LOAD"/>
      <definedName name="P2_SCOPE_NOTIND"/>
      <definedName name="P3_SCOPE_FULL_LOAD"/>
      <definedName name="P3_SCOPE_NOTIND"/>
      <definedName name="P4_SCOPE_FULL_LOAD"/>
      <definedName name="P4_SCOPE_NOTIND"/>
      <definedName name="P5_SCOPE_FULL_LOAD"/>
      <definedName name="P5_SCOPE_NOTIND"/>
      <definedName name="P6_SCOPE_FULL_LOAD"/>
      <definedName name="P6_SCOPE_NOTIND"/>
      <definedName name="P7_SCOPE_FULL_LOAD"/>
      <definedName name="P7_SCOPE_NOTIND"/>
      <definedName name="P8_SCOPE_FULL_LOAD"/>
      <definedName name="P9_SCOPE_FULL_LOAD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O18" sqref="O18"/>
    </sheetView>
  </sheetViews>
  <sheetFormatPr defaultRowHeight="11.25" x14ac:dyDescent="0.2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1126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333375</xdr:colOff>
                <xdr:row>56</xdr:row>
                <xdr:rowOff>9525</xdr:rowOff>
              </to>
            </anchor>
          </objectPr>
        </oleObject>
      </mc:Choice>
      <mc:Fallback>
        <oleObject progId="AcroExch.Document.DC" shapeId="1126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sqref="A1:D10"/>
    </sheetView>
  </sheetViews>
  <sheetFormatPr defaultRowHeight="15" x14ac:dyDescent="0.25"/>
  <cols>
    <col min="1" max="1" width="25.83203125" style="143" customWidth="1"/>
    <col min="2" max="2" width="26.6640625" style="144" customWidth="1"/>
    <col min="3" max="3" width="44.5" style="148" customWidth="1"/>
    <col min="4" max="4" width="34.1640625" style="144" customWidth="1"/>
    <col min="5" max="5" width="25.33203125" style="144" customWidth="1"/>
    <col min="6" max="16384" width="9.33203125" style="144"/>
  </cols>
  <sheetData>
    <row r="1" spans="1:5" ht="35.25" customHeight="1" x14ac:dyDescent="0.25">
      <c r="C1" s="152" t="s">
        <v>129</v>
      </c>
      <c r="D1" s="152"/>
    </row>
    <row r="2" spans="1:5" ht="19.5" customHeight="1" x14ac:dyDescent="0.3">
      <c r="A2" s="171" t="s">
        <v>130</v>
      </c>
      <c r="B2" s="171"/>
      <c r="C2" s="171"/>
      <c r="D2" s="171"/>
    </row>
    <row r="3" spans="1:5" ht="19.5" customHeight="1" x14ac:dyDescent="0.25">
      <c r="A3" s="172" t="s">
        <v>128</v>
      </c>
      <c r="B3" s="172"/>
      <c r="C3" s="153" t="s">
        <v>127</v>
      </c>
      <c r="D3" s="172" t="s">
        <v>123</v>
      </c>
    </row>
    <row r="4" spans="1:5" s="143" customFormat="1" ht="66" customHeight="1" x14ac:dyDescent="0.25">
      <c r="A4" s="172"/>
      <c r="B4" s="172"/>
      <c r="C4" s="153"/>
      <c r="D4" s="172"/>
    </row>
    <row r="5" spans="1:5" ht="51" customHeight="1" x14ac:dyDescent="0.25">
      <c r="A5" s="173" t="s">
        <v>131</v>
      </c>
      <c r="B5" s="145" t="s">
        <v>133</v>
      </c>
      <c r="C5" s="146" t="s">
        <v>118</v>
      </c>
      <c r="D5" s="174" t="s">
        <v>121</v>
      </c>
    </row>
    <row r="6" spans="1:5" ht="53.25" customHeight="1" x14ac:dyDescent="0.25">
      <c r="A6" s="173"/>
      <c r="B6" s="145" t="s">
        <v>134</v>
      </c>
      <c r="C6" s="147" t="s">
        <v>119</v>
      </c>
      <c r="D6" s="174" t="s">
        <v>120</v>
      </c>
    </row>
    <row r="7" spans="1:5" ht="32.25" customHeight="1" x14ac:dyDescent="0.25">
      <c r="A7" s="176" t="s">
        <v>117</v>
      </c>
      <c r="B7" s="177"/>
      <c r="C7" s="178"/>
      <c r="D7" s="175" t="s">
        <v>122</v>
      </c>
    </row>
    <row r="8" spans="1:5" ht="22.5" customHeight="1" x14ac:dyDescent="0.25">
      <c r="D8" s="143"/>
    </row>
    <row r="9" spans="1:5" ht="58.5" customHeight="1" x14ac:dyDescent="0.25">
      <c r="A9" s="170" t="s">
        <v>132</v>
      </c>
      <c r="B9" s="170"/>
      <c r="C9" s="170"/>
      <c r="D9" s="149" t="s">
        <v>125</v>
      </c>
      <c r="E9" s="150"/>
    </row>
    <row r="10" spans="1:5" ht="42.75" customHeight="1" x14ac:dyDescent="0.25">
      <c r="A10" s="170" t="s">
        <v>124</v>
      </c>
      <c r="B10" s="170"/>
      <c r="C10" s="170"/>
      <c r="D10" s="149" t="s">
        <v>126</v>
      </c>
    </row>
    <row r="11" spans="1:5" ht="42.75" customHeight="1" x14ac:dyDescent="0.25">
      <c r="C11" s="151"/>
    </row>
    <row r="12" spans="1:5" ht="15.75" x14ac:dyDescent="0.25">
      <c r="C12" s="151"/>
    </row>
    <row r="14" spans="1:5" ht="15.75" x14ac:dyDescent="0.25">
      <c r="C14" s="151"/>
    </row>
  </sheetData>
  <mergeCells count="9">
    <mergeCell ref="A9:C9"/>
    <mergeCell ref="A10:C10"/>
    <mergeCell ref="A7:C7"/>
    <mergeCell ref="C1:D1"/>
    <mergeCell ref="A2:D2"/>
    <mergeCell ref="A5:A6"/>
    <mergeCell ref="C3:C4"/>
    <mergeCell ref="D3:D4"/>
    <mergeCell ref="A3:B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="120" zoomScaleNormal="120" workbookViewId="0">
      <selection activeCell="D21" sqref="D21:F21"/>
    </sheetView>
  </sheetViews>
  <sheetFormatPr defaultRowHeight="11.25" x14ac:dyDescent="0.2"/>
  <cols>
    <col min="1" max="1" width="73.33203125" customWidth="1"/>
    <col min="3" max="3" width="13.6640625" customWidth="1"/>
  </cols>
  <sheetData>
    <row r="2" spans="1:6" x14ac:dyDescent="0.2">
      <c r="A2" s="76" t="s">
        <v>30</v>
      </c>
      <c r="B2" s="76" t="s">
        <v>31</v>
      </c>
      <c r="C2" s="77">
        <v>-1536509.6</v>
      </c>
    </row>
    <row r="3" spans="1:6" x14ac:dyDescent="0.2">
      <c r="A3" s="80" t="s">
        <v>5</v>
      </c>
      <c r="B3" s="80"/>
      <c r="C3" s="78">
        <v>-1536509.6</v>
      </c>
    </row>
    <row r="4" spans="1:6" x14ac:dyDescent="0.2">
      <c r="A4" s="80" t="s">
        <v>39</v>
      </c>
      <c r="B4" s="80"/>
      <c r="C4" s="78">
        <v>-245000</v>
      </c>
    </row>
    <row r="5" spans="1:6" ht="22.5" x14ac:dyDescent="0.2">
      <c r="A5" s="36" t="s">
        <v>40</v>
      </c>
      <c r="B5" s="36"/>
      <c r="C5" s="79">
        <v>-71666.67</v>
      </c>
    </row>
    <row r="6" spans="1:6" x14ac:dyDescent="0.2">
      <c r="A6" s="36" t="s">
        <v>41</v>
      </c>
      <c r="B6" s="36"/>
      <c r="C6" s="79">
        <v>-83333.33</v>
      </c>
    </row>
    <row r="7" spans="1:6" x14ac:dyDescent="0.2">
      <c r="A7" s="36" t="s">
        <v>42</v>
      </c>
      <c r="B7" s="36"/>
      <c r="C7" s="79">
        <v>-90000</v>
      </c>
    </row>
    <row r="8" spans="1:6" x14ac:dyDescent="0.2">
      <c r="A8" s="80" t="s">
        <v>43</v>
      </c>
      <c r="B8" s="80"/>
      <c r="C8" s="78">
        <v>-961929.6</v>
      </c>
      <c r="F8" s="142"/>
    </row>
    <row r="9" spans="1:6" x14ac:dyDescent="0.2">
      <c r="A9" s="36" t="s">
        <v>44</v>
      </c>
      <c r="B9" s="36"/>
      <c r="C9" s="79">
        <v>-961929.6</v>
      </c>
      <c r="F9" s="142"/>
    </row>
    <row r="10" spans="1:6" x14ac:dyDescent="0.2">
      <c r="A10" s="80" t="s">
        <v>45</v>
      </c>
      <c r="B10" s="80"/>
      <c r="C10" s="78">
        <v>-329580</v>
      </c>
    </row>
    <row r="11" spans="1:6" x14ac:dyDescent="0.2">
      <c r="A11" s="138" t="s">
        <v>46</v>
      </c>
      <c r="B11" s="138"/>
      <c r="C11" s="139">
        <v>-39500</v>
      </c>
    </row>
    <row r="12" spans="1:6" x14ac:dyDescent="0.2">
      <c r="A12" s="138" t="s">
        <v>47</v>
      </c>
      <c r="B12" s="138"/>
      <c r="C12" s="139">
        <v>-39500</v>
      </c>
    </row>
    <row r="13" spans="1:6" ht="22.5" x14ac:dyDescent="0.2">
      <c r="A13" s="138" t="s">
        <v>48</v>
      </c>
      <c r="B13" s="138"/>
      <c r="C13" s="139">
        <v>-15000</v>
      </c>
    </row>
    <row r="14" spans="1:6" ht="22.5" x14ac:dyDescent="0.2">
      <c r="A14" s="36" t="s">
        <v>49</v>
      </c>
      <c r="B14" s="36"/>
      <c r="C14" s="79">
        <v>-57000</v>
      </c>
    </row>
    <row r="15" spans="1:6" ht="22.5" x14ac:dyDescent="0.2">
      <c r="A15" s="36" t="s">
        <v>50</v>
      </c>
      <c r="B15" s="36"/>
      <c r="C15" s="79">
        <v>-16800</v>
      </c>
    </row>
    <row r="16" spans="1:6" ht="22.5" x14ac:dyDescent="0.2">
      <c r="A16" s="138" t="s">
        <v>51</v>
      </c>
      <c r="B16" s="138"/>
      <c r="C16" s="139">
        <v>-60000</v>
      </c>
    </row>
    <row r="17" spans="1:6" ht="22.5" x14ac:dyDescent="0.2">
      <c r="A17" s="140" t="s">
        <v>52</v>
      </c>
      <c r="B17" s="140"/>
      <c r="C17" s="141">
        <v>-60000</v>
      </c>
    </row>
    <row r="18" spans="1:6" x14ac:dyDescent="0.2">
      <c r="A18" s="138" t="s">
        <v>116</v>
      </c>
      <c r="B18" s="138"/>
      <c r="C18" s="139">
        <v>-41780</v>
      </c>
    </row>
    <row r="19" spans="1:6" x14ac:dyDescent="0.2">
      <c r="A19" s="154" t="s">
        <v>35</v>
      </c>
      <c r="B19" s="154"/>
      <c r="C19" s="77">
        <v>-1536509.6</v>
      </c>
    </row>
    <row r="21" spans="1:6" x14ac:dyDescent="0.2">
      <c r="D21" s="79"/>
      <c r="F21" s="142"/>
    </row>
  </sheetData>
  <mergeCells count="1">
    <mergeCell ref="A19:B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5" sqref="C5"/>
    </sheetView>
  </sheetViews>
  <sheetFormatPr defaultColWidth="9.33203125" defaultRowHeight="15" x14ac:dyDescent="0.25"/>
  <cols>
    <col min="1" max="1" width="47.1640625" style="82" customWidth="1"/>
    <col min="2" max="2" width="14.5" style="82" customWidth="1"/>
    <col min="3" max="3" width="17.5" style="82" customWidth="1"/>
    <col min="4" max="16384" width="9.33203125" style="82"/>
  </cols>
  <sheetData>
    <row r="1" spans="1:3" ht="22.5" customHeight="1" x14ac:dyDescent="0.25">
      <c r="A1" s="86" t="s">
        <v>56</v>
      </c>
    </row>
    <row r="2" spans="1:3" x14ac:dyDescent="0.25">
      <c r="A2" s="81" t="s">
        <v>53</v>
      </c>
      <c r="B2" s="81" t="s">
        <v>54</v>
      </c>
      <c r="C2" s="155" t="s">
        <v>17</v>
      </c>
    </row>
    <row r="3" spans="1:3" x14ac:dyDescent="0.25">
      <c r="A3" s="81" t="s">
        <v>0</v>
      </c>
      <c r="B3" s="83"/>
      <c r="C3" s="155"/>
    </row>
    <row r="4" spans="1:3" x14ac:dyDescent="0.25">
      <c r="A4" s="81" t="s">
        <v>30</v>
      </c>
      <c r="B4" s="81" t="s">
        <v>31</v>
      </c>
      <c r="C4" s="87">
        <v>10133.47363</v>
      </c>
    </row>
    <row r="5" spans="1:3" x14ac:dyDescent="0.25">
      <c r="A5" s="85" t="s">
        <v>2</v>
      </c>
      <c r="B5" s="85"/>
      <c r="C5" s="84">
        <v>1893.2646399999999</v>
      </c>
    </row>
    <row r="6" spans="1:3" x14ac:dyDescent="0.25">
      <c r="A6" s="85" t="s">
        <v>3</v>
      </c>
      <c r="B6" s="85"/>
      <c r="C6" s="84">
        <v>1405.8092900000001</v>
      </c>
    </row>
    <row r="7" spans="1:3" x14ac:dyDescent="0.25">
      <c r="A7" s="85" t="s">
        <v>4</v>
      </c>
      <c r="B7" s="85"/>
      <c r="C7" s="84">
        <v>3380.20748</v>
      </c>
    </row>
    <row r="8" spans="1:3" x14ac:dyDescent="0.25">
      <c r="A8" s="85" t="s">
        <v>5</v>
      </c>
      <c r="B8" s="85"/>
      <c r="C8" s="84">
        <v>1089.7881599999998</v>
      </c>
    </row>
    <row r="9" spans="1:3" x14ac:dyDescent="0.25">
      <c r="A9" s="85" t="s">
        <v>6</v>
      </c>
      <c r="B9" s="85"/>
      <c r="C9" s="84">
        <v>1092.8390200000001</v>
      </c>
    </row>
    <row r="10" spans="1:3" x14ac:dyDescent="0.25">
      <c r="A10" s="85" t="s">
        <v>7</v>
      </c>
      <c r="B10" s="85"/>
      <c r="C10" s="84">
        <v>1271.56504</v>
      </c>
    </row>
    <row r="11" spans="1:3" x14ac:dyDescent="0.25">
      <c r="A11" s="81" t="s">
        <v>32</v>
      </c>
      <c r="B11" s="81" t="s">
        <v>33</v>
      </c>
      <c r="C11" s="87">
        <v>25.423680000000001</v>
      </c>
    </row>
    <row r="12" spans="1:3" ht="30" x14ac:dyDescent="0.25">
      <c r="A12" s="85" t="s">
        <v>55</v>
      </c>
      <c r="B12" s="85"/>
      <c r="C12" s="84">
        <v>25.423680000000001</v>
      </c>
    </row>
    <row r="13" spans="1:3" x14ac:dyDescent="0.25">
      <c r="A13" s="156" t="s">
        <v>35</v>
      </c>
      <c r="B13" s="156"/>
      <c r="C13" s="87">
        <v>10158.89731</v>
      </c>
    </row>
  </sheetData>
  <mergeCells count="2">
    <mergeCell ref="C2:C3"/>
    <mergeCell ref="A13:B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BreakPreview" topLeftCell="D7" zoomScale="90" zoomScaleNormal="100" zoomScaleSheetLayoutView="90" workbookViewId="0">
      <selection activeCell="T28" sqref="T28"/>
    </sheetView>
  </sheetViews>
  <sheetFormatPr defaultColWidth="9.33203125" defaultRowHeight="15.75" x14ac:dyDescent="0.25"/>
  <cols>
    <col min="1" max="1" width="8.83203125" style="88" hidden="1" customWidth="1"/>
    <col min="2" max="2" width="15.6640625" style="88" hidden="1" customWidth="1"/>
    <col min="3" max="3" width="13.6640625" style="89" hidden="1" customWidth="1"/>
    <col min="4" max="4" width="26.83203125" style="88" bestFit="1" customWidth="1"/>
    <col min="5" max="5" width="130.1640625" style="90" customWidth="1"/>
    <col min="6" max="6" width="15.83203125" style="88" customWidth="1"/>
    <col min="7" max="7" width="16.1640625" style="88" customWidth="1"/>
    <col min="8" max="8" width="17.33203125" style="88" customWidth="1"/>
    <col min="9" max="9" width="37.83203125" style="90" hidden="1" customWidth="1"/>
    <col min="10" max="10" width="16.6640625" style="90" customWidth="1"/>
    <col min="11" max="11" width="23.33203125" style="90" customWidth="1"/>
    <col min="12" max="16384" width="9.33203125" style="90"/>
  </cols>
  <sheetData>
    <row r="1" spans="1:13" ht="46.5" customHeight="1" x14ac:dyDescent="0.25">
      <c r="H1" s="157" t="s">
        <v>57</v>
      </c>
      <c r="I1" s="157"/>
      <c r="J1" s="157"/>
    </row>
    <row r="2" spans="1:13" ht="30" customHeight="1" x14ac:dyDescent="0.25">
      <c r="A2" s="158" t="s">
        <v>58</v>
      </c>
      <c r="B2" s="158"/>
      <c r="C2" s="158"/>
      <c r="D2" s="158"/>
      <c r="E2" s="158"/>
      <c r="F2" s="158"/>
      <c r="G2" s="158"/>
      <c r="H2" s="158"/>
      <c r="I2" s="158"/>
      <c r="J2" s="158"/>
      <c r="K2" s="91"/>
      <c r="L2" s="91"/>
      <c r="M2" s="91"/>
    </row>
    <row r="3" spans="1:13" ht="31.5" x14ac:dyDescent="0.25">
      <c r="A3" s="92" t="s">
        <v>59</v>
      </c>
      <c r="B3" s="92" t="s">
        <v>60</v>
      </c>
      <c r="C3" s="93" t="s">
        <v>61</v>
      </c>
      <c r="D3" s="92" t="s">
        <v>62</v>
      </c>
      <c r="E3" s="92" t="s">
        <v>63</v>
      </c>
      <c r="F3" s="94" t="s">
        <v>64</v>
      </c>
      <c r="G3" s="92" t="s">
        <v>65</v>
      </c>
      <c r="H3" s="95" t="s">
        <v>66</v>
      </c>
      <c r="I3" s="96" t="s">
        <v>67</v>
      </c>
      <c r="J3" s="96" t="s">
        <v>68</v>
      </c>
      <c r="K3" s="96" t="s">
        <v>115</v>
      </c>
    </row>
    <row r="4" spans="1:13" ht="31.5" x14ac:dyDescent="0.25">
      <c r="A4" s="97">
        <v>1</v>
      </c>
      <c r="B4" s="97"/>
      <c r="C4" s="98" t="s">
        <v>69</v>
      </c>
      <c r="D4" s="97" t="s">
        <v>3</v>
      </c>
      <c r="E4" s="99" t="s">
        <v>70</v>
      </c>
      <c r="F4" s="97"/>
      <c r="G4" s="97"/>
      <c r="H4" s="97" t="s">
        <v>71</v>
      </c>
      <c r="I4" s="100" t="s">
        <v>72</v>
      </c>
      <c r="J4" s="101">
        <v>204600</v>
      </c>
      <c r="K4" s="129">
        <f>J4/1.2</f>
        <v>170500</v>
      </c>
    </row>
    <row r="5" spans="1:13" ht="31.5" x14ac:dyDescent="0.25">
      <c r="A5" s="97">
        <f t="shared" ref="A5:A20" si="0">A4+1</f>
        <v>2</v>
      </c>
      <c r="B5" s="97"/>
      <c r="C5" s="98" t="s">
        <v>69</v>
      </c>
      <c r="D5" s="97" t="s">
        <v>3</v>
      </c>
      <c r="E5" s="99" t="s">
        <v>73</v>
      </c>
      <c r="F5" s="97"/>
      <c r="G5" s="97"/>
      <c r="H5" s="97" t="s">
        <v>71</v>
      </c>
      <c r="I5" s="100" t="s">
        <v>74</v>
      </c>
      <c r="J5" s="101">
        <v>198000</v>
      </c>
      <c r="K5" s="129">
        <f t="shared" ref="K5:K23" si="1">J5/1.2</f>
        <v>165000</v>
      </c>
    </row>
    <row r="6" spans="1:13" ht="31.5" x14ac:dyDescent="0.25">
      <c r="A6" s="97">
        <f t="shared" si="0"/>
        <v>3</v>
      </c>
      <c r="B6" s="97"/>
      <c r="C6" s="98" t="s">
        <v>69</v>
      </c>
      <c r="D6" s="97" t="s">
        <v>3</v>
      </c>
      <c r="E6" s="99" t="s">
        <v>75</v>
      </c>
      <c r="F6" s="97"/>
      <c r="G6" s="97"/>
      <c r="H6" s="97" t="s">
        <v>71</v>
      </c>
      <c r="I6" s="100" t="s">
        <v>74</v>
      </c>
      <c r="J6" s="101">
        <v>105600</v>
      </c>
      <c r="K6" s="129">
        <f t="shared" si="1"/>
        <v>88000</v>
      </c>
    </row>
    <row r="7" spans="1:13" ht="31.5" x14ac:dyDescent="0.25">
      <c r="A7" s="97">
        <f t="shared" si="0"/>
        <v>4</v>
      </c>
      <c r="B7" s="97"/>
      <c r="C7" s="98" t="s">
        <v>69</v>
      </c>
      <c r="D7" s="97" t="s">
        <v>3</v>
      </c>
      <c r="E7" s="99" t="s">
        <v>76</v>
      </c>
      <c r="F7" s="97"/>
      <c r="G7" s="97"/>
      <c r="H7" s="97" t="s">
        <v>71</v>
      </c>
      <c r="I7" s="100" t="s">
        <v>74</v>
      </c>
      <c r="J7" s="101">
        <v>257400</v>
      </c>
      <c r="K7" s="129">
        <f t="shared" si="1"/>
        <v>214500</v>
      </c>
    </row>
    <row r="8" spans="1:13" x14ac:dyDescent="0.25">
      <c r="A8" s="97">
        <f t="shared" si="0"/>
        <v>5</v>
      </c>
      <c r="B8" s="97"/>
      <c r="C8" s="98" t="s">
        <v>77</v>
      </c>
      <c r="D8" s="97" t="s">
        <v>3</v>
      </c>
      <c r="E8" s="99" t="s">
        <v>78</v>
      </c>
      <c r="F8" s="97"/>
      <c r="G8" s="97"/>
      <c r="H8" s="97" t="s">
        <v>71</v>
      </c>
      <c r="I8" s="100" t="s">
        <v>74</v>
      </c>
      <c r="J8" s="101">
        <v>112200</v>
      </c>
      <c r="K8" s="129">
        <f t="shared" si="1"/>
        <v>93500</v>
      </c>
    </row>
    <row r="9" spans="1:13" x14ac:dyDescent="0.25">
      <c r="A9" s="97">
        <f t="shared" si="0"/>
        <v>6</v>
      </c>
      <c r="B9" s="97"/>
      <c r="C9" s="98" t="s">
        <v>77</v>
      </c>
      <c r="D9" s="97" t="s">
        <v>3</v>
      </c>
      <c r="E9" s="99" t="s">
        <v>79</v>
      </c>
      <c r="F9" s="97"/>
      <c r="G9" s="97"/>
      <c r="H9" s="97" t="s">
        <v>71</v>
      </c>
      <c r="I9" s="100" t="s">
        <v>74</v>
      </c>
      <c r="J9" s="101">
        <v>112200</v>
      </c>
      <c r="K9" s="129">
        <f t="shared" si="1"/>
        <v>93500</v>
      </c>
    </row>
    <row r="10" spans="1:13" ht="31.5" x14ac:dyDescent="0.25">
      <c r="A10" s="97">
        <f t="shared" si="0"/>
        <v>7</v>
      </c>
      <c r="B10" s="97"/>
      <c r="C10" s="98" t="s">
        <v>69</v>
      </c>
      <c r="D10" s="97" t="s">
        <v>4</v>
      </c>
      <c r="E10" s="99" t="s">
        <v>80</v>
      </c>
      <c r="F10" s="97"/>
      <c r="G10" s="97"/>
      <c r="H10" s="97" t="s">
        <v>71</v>
      </c>
      <c r="I10" s="100" t="s">
        <v>81</v>
      </c>
      <c r="J10" s="101">
        <v>327814.57</v>
      </c>
      <c r="K10" s="129">
        <f t="shared" si="1"/>
        <v>273178.80833333335</v>
      </c>
    </row>
    <row r="11" spans="1:13" ht="31.5" x14ac:dyDescent="0.25">
      <c r="A11" s="97">
        <f t="shared" si="0"/>
        <v>8</v>
      </c>
      <c r="B11" s="97"/>
      <c r="C11" s="98" t="s">
        <v>69</v>
      </c>
      <c r="D11" s="97" t="s">
        <v>4</v>
      </c>
      <c r="E11" s="99" t="s">
        <v>82</v>
      </c>
      <c r="F11" s="97"/>
      <c r="G11" s="97"/>
      <c r="H11" s="97" t="s">
        <v>71</v>
      </c>
      <c r="I11" s="100" t="s">
        <v>81</v>
      </c>
      <c r="J11" s="101">
        <v>290142.71000000002</v>
      </c>
      <c r="K11" s="129">
        <f t="shared" si="1"/>
        <v>241785.5916666667</v>
      </c>
    </row>
    <row r="12" spans="1:13" ht="15" customHeight="1" x14ac:dyDescent="0.25">
      <c r="A12" s="97">
        <f t="shared" si="0"/>
        <v>9</v>
      </c>
      <c r="B12" s="102"/>
      <c r="C12" s="103" t="s">
        <v>69</v>
      </c>
      <c r="D12" s="104" t="s">
        <v>7</v>
      </c>
      <c r="E12" s="105" t="s">
        <v>83</v>
      </c>
      <c r="F12" s="106"/>
      <c r="G12" s="106"/>
      <c r="H12" s="97" t="s">
        <v>71</v>
      </c>
      <c r="I12" s="102"/>
      <c r="J12" s="159">
        <v>198000</v>
      </c>
      <c r="K12" s="129">
        <f t="shared" si="1"/>
        <v>165000</v>
      </c>
    </row>
    <row r="13" spans="1:13" ht="31.5" x14ac:dyDescent="0.25">
      <c r="A13" s="97">
        <f t="shared" si="0"/>
        <v>10</v>
      </c>
      <c r="B13" s="102"/>
      <c r="C13" s="103" t="s">
        <v>84</v>
      </c>
      <c r="D13" s="104" t="s">
        <v>7</v>
      </c>
      <c r="E13" s="105" t="s">
        <v>85</v>
      </c>
      <c r="F13" s="106"/>
      <c r="G13" s="106"/>
      <c r="H13" s="97" t="s">
        <v>71</v>
      </c>
      <c r="I13" s="102"/>
      <c r="J13" s="160"/>
      <c r="K13" s="129">
        <f t="shared" si="1"/>
        <v>0</v>
      </c>
    </row>
    <row r="14" spans="1:13" ht="15" customHeight="1" x14ac:dyDescent="0.25">
      <c r="A14" s="97">
        <f t="shared" si="0"/>
        <v>11</v>
      </c>
      <c r="B14" s="104"/>
      <c r="C14" s="103" t="s">
        <v>69</v>
      </c>
      <c r="D14" s="104" t="s">
        <v>7</v>
      </c>
      <c r="E14" s="107" t="s">
        <v>86</v>
      </c>
      <c r="F14" s="104"/>
      <c r="G14" s="104"/>
      <c r="H14" s="104" t="s">
        <v>71</v>
      </c>
      <c r="I14" s="100"/>
      <c r="J14" s="108">
        <v>303600</v>
      </c>
      <c r="K14" s="129">
        <f t="shared" si="1"/>
        <v>253000</v>
      </c>
    </row>
    <row r="15" spans="1:13" ht="15" customHeight="1" x14ac:dyDescent="0.25">
      <c r="A15" s="97">
        <f t="shared" si="0"/>
        <v>12</v>
      </c>
      <c r="B15" s="104"/>
      <c r="C15" s="103" t="s">
        <v>69</v>
      </c>
      <c r="D15" s="104" t="s">
        <v>7</v>
      </c>
      <c r="E15" s="109" t="s">
        <v>87</v>
      </c>
      <c r="F15" s="104"/>
      <c r="G15" s="104"/>
      <c r="H15" s="104" t="s">
        <v>71</v>
      </c>
      <c r="I15" s="100"/>
      <c r="J15" s="108">
        <v>94800</v>
      </c>
      <c r="K15" s="129">
        <f t="shared" si="1"/>
        <v>79000</v>
      </c>
    </row>
    <row r="16" spans="1:13" ht="15" customHeight="1" x14ac:dyDescent="0.25">
      <c r="A16" s="97">
        <f t="shared" si="0"/>
        <v>13</v>
      </c>
      <c r="B16" s="104"/>
      <c r="C16" s="103" t="s">
        <v>69</v>
      </c>
      <c r="D16" s="104" t="s">
        <v>7</v>
      </c>
      <c r="E16" s="109" t="s">
        <v>88</v>
      </c>
      <c r="F16" s="104"/>
      <c r="G16" s="104"/>
      <c r="H16" s="104" t="s">
        <v>71</v>
      </c>
      <c r="I16" s="100"/>
      <c r="J16" s="108">
        <v>105600</v>
      </c>
      <c r="K16" s="129">
        <f t="shared" si="1"/>
        <v>88000</v>
      </c>
    </row>
    <row r="17" spans="1:11" ht="15" customHeight="1" x14ac:dyDescent="0.25">
      <c r="A17" s="97">
        <f t="shared" si="0"/>
        <v>14</v>
      </c>
      <c r="B17" s="104"/>
      <c r="C17" s="103" t="s">
        <v>69</v>
      </c>
      <c r="D17" s="104" t="s">
        <v>7</v>
      </c>
      <c r="E17" s="109" t="s">
        <v>89</v>
      </c>
      <c r="F17" s="104"/>
      <c r="G17" s="104"/>
      <c r="H17" s="104" t="s">
        <v>71</v>
      </c>
      <c r="I17" s="100"/>
      <c r="J17" s="159">
        <v>330000</v>
      </c>
      <c r="K17" s="129">
        <f t="shared" si="1"/>
        <v>275000</v>
      </c>
    </row>
    <row r="18" spans="1:11" x14ac:dyDescent="0.25">
      <c r="A18" s="97">
        <f t="shared" si="0"/>
        <v>15</v>
      </c>
      <c r="B18" s="104"/>
      <c r="C18" s="103" t="s">
        <v>77</v>
      </c>
      <c r="D18" s="104" t="s">
        <v>7</v>
      </c>
      <c r="E18" s="109" t="s">
        <v>90</v>
      </c>
      <c r="F18" s="104"/>
      <c r="G18" s="104"/>
      <c r="H18" s="104" t="s">
        <v>71</v>
      </c>
      <c r="I18" s="100"/>
      <c r="J18" s="160"/>
      <c r="K18" s="129">
        <f t="shared" si="1"/>
        <v>0</v>
      </c>
    </row>
    <row r="19" spans="1:11" ht="31.5" x14ac:dyDescent="0.25">
      <c r="A19" s="97">
        <f t="shared" si="0"/>
        <v>16</v>
      </c>
      <c r="B19" s="104"/>
      <c r="C19" s="103" t="s">
        <v>69</v>
      </c>
      <c r="D19" s="104" t="s">
        <v>7</v>
      </c>
      <c r="E19" s="110" t="s">
        <v>91</v>
      </c>
      <c r="F19" s="104"/>
      <c r="G19" s="104"/>
      <c r="H19" s="104" t="s">
        <v>71</v>
      </c>
      <c r="I19" s="100"/>
      <c r="J19" s="108">
        <v>105600</v>
      </c>
      <c r="K19" s="129">
        <f t="shared" si="1"/>
        <v>88000</v>
      </c>
    </row>
    <row r="20" spans="1:11" ht="31.5" x14ac:dyDescent="0.25">
      <c r="A20" s="97">
        <f t="shared" si="0"/>
        <v>17</v>
      </c>
      <c r="B20" s="104"/>
      <c r="C20" s="103" t="s">
        <v>69</v>
      </c>
      <c r="D20" s="104" t="s">
        <v>7</v>
      </c>
      <c r="E20" s="110" t="s">
        <v>92</v>
      </c>
      <c r="F20" s="104"/>
      <c r="G20" s="104"/>
      <c r="H20" s="104" t="s">
        <v>71</v>
      </c>
      <c r="I20" s="100"/>
      <c r="J20" s="108">
        <v>105600</v>
      </c>
      <c r="K20" s="129">
        <f t="shared" si="1"/>
        <v>88000</v>
      </c>
    </row>
    <row r="21" spans="1:11" x14ac:dyDescent="0.25">
      <c r="A21" s="97"/>
      <c r="B21" s="111"/>
      <c r="C21" s="112" t="s">
        <v>69</v>
      </c>
      <c r="D21" s="113" t="s">
        <v>7</v>
      </c>
      <c r="E21" s="114" t="s">
        <v>103</v>
      </c>
      <c r="F21" s="113" t="s">
        <v>104</v>
      </c>
      <c r="G21" s="113" t="s">
        <v>96</v>
      </c>
      <c r="H21" s="113" t="s">
        <v>71</v>
      </c>
      <c r="I21" s="115" t="s">
        <v>81</v>
      </c>
      <c r="J21" s="116">
        <v>330000</v>
      </c>
      <c r="K21" s="129">
        <f t="shared" si="1"/>
        <v>275000</v>
      </c>
    </row>
    <row r="22" spans="1:11" ht="31.5" x14ac:dyDescent="0.25">
      <c r="A22" s="97">
        <f>A20+1</f>
        <v>18</v>
      </c>
      <c r="B22" s="111"/>
      <c r="C22" s="112" t="s">
        <v>69</v>
      </c>
      <c r="D22" s="113" t="s">
        <v>2</v>
      </c>
      <c r="E22" s="114" t="s">
        <v>105</v>
      </c>
      <c r="F22" s="113" t="s">
        <v>96</v>
      </c>
      <c r="G22" s="113" t="s">
        <v>106</v>
      </c>
      <c r="H22" s="113" t="s">
        <v>71</v>
      </c>
      <c r="I22" s="115" t="s">
        <v>81</v>
      </c>
      <c r="J22" s="116">
        <v>180000</v>
      </c>
      <c r="K22" s="129">
        <f t="shared" si="1"/>
        <v>150000</v>
      </c>
    </row>
    <row r="23" spans="1:11" ht="31.5" x14ac:dyDescent="0.25">
      <c r="A23" s="97">
        <f>A22+1</f>
        <v>19</v>
      </c>
      <c r="B23" s="111"/>
      <c r="C23" s="112" t="s">
        <v>69</v>
      </c>
      <c r="D23" s="113" t="s">
        <v>2</v>
      </c>
      <c r="E23" s="114" t="s">
        <v>107</v>
      </c>
      <c r="F23" s="113" t="s">
        <v>108</v>
      </c>
      <c r="G23" s="113" t="s">
        <v>109</v>
      </c>
      <c r="H23" s="113" t="s">
        <v>71</v>
      </c>
      <c r="I23" s="115" t="s">
        <v>81</v>
      </c>
      <c r="J23" s="116">
        <v>140000</v>
      </c>
      <c r="K23" s="129">
        <f t="shared" si="1"/>
        <v>116666.66666666667</v>
      </c>
    </row>
    <row r="24" spans="1:11" s="137" customFormat="1" x14ac:dyDescent="0.25">
      <c r="A24" s="92"/>
      <c r="B24" s="130"/>
      <c r="C24" s="131"/>
      <c r="D24" s="132"/>
      <c r="E24" s="133"/>
      <c r="F24" s="132"/>
      <c r="G24" s="132"/>
      <c r="H24" s="132"/>
      <c r="I24" s="134"/>
      <c r="J24" s="135">
        <f>SUM(J4:J23)</f>
        <v>3501157.2800000003</v>
      </c>
      <c r="K24" s="136">
        <f>SUM(K4:K23)</f>
        <v>2917631.0666666669</v>
      </c>
    </row>
    <row r="25" spans="1:11" ht="47.25" x14ac:dyDescent="0.25">
      <c r="A25" s="97"/>
      <c r="B25" s="111"/>
      <c r="C25" s="122" t="s">
        <v>93</v>
      </c>
      <c r="D25" s="123" t="s">
        <v>7</v>
      </c>
      <c r="E25" s="124" t="s">
        <v>94</v>
      </c>
      <c r="F25" s="125" t="s">
        <v>95</v>
      </c>
      <c r="G25" s="125" t="s">
        <v>96</v>
      </c>
      <c r="H25" s="123" t="s">
        <v>97</v>
      </c>
      <c r="I25" s="123" t="s">
        <v>81</v>
      </c>
      <c r="J25" s="126" t="s">
        <v>98</v>
      </c>
    </row>
    <row r="26" spans="1:11" ht="31.5" x14ac:dyDescent="0.25">
      <c r="A26" s="97"/>
      <c r="B26" s="111"/>
      <c r="C26" s="122" t="s">
        <v>77</v>
      </c>
      <c r="D26" s="123" t="s">
        <v>7</v>
      </c>
      <c r="E26" s="124" t="s">
        <v>99</v>
      </c>
      <c r="F26" s="123" t="s">
        <v>100</v>
      </c>
      <c r="G26" s="123" t="s">
        <v>101</v>
      </c>
      <c r="H26" s="123" t="s">
        <v>97</v>
      </c>
      <c r="I26" s="127" t="s">
        <v>81</v>
      </c>
      <c r="J26" s="128" t="s">
        <v>102</v>
      </c>
    </row>
    <row r="27" spans="1:11" ht="47.25" x14ac:dyDescent="0.25">
      <c r="A27" s="117"/>
      <c r="B27" s="111"/>
      <c r="C27" s="122" t="s">
        <v>110</v>
      </c>
      <c r="D27" s="123" t="s">
        <v>5</v>
      </c>
      <c r="E27" s="124" t="s">
        <v>111</v>
      </c>
      <c r="F27" s="123" t="s">
        <v>112</v>
      </c>
      <c r="G27" s="123" t="s">
        <v>112</v>
      </c>
      <c r="H27" s="123" t="s">
        <v>97</v>
      </c>
      <c r="I27" s="127" t="s">
        <v>81</v>
      </c>
      <c r="J27" s="128" t="s">
        <v>113</v>
      </c>
    </row>
    <row r="28" spans="1:11" ht="45" customHeight="1" x14ac:dyDescent="0.25">
      <c r="A28" s="117"/>
      <c r="B28" s="111"/>
      <c r="C28" s="118"/>
      <c r="D28" s="111"/>
      <c r="E28" s="119" t="s">
        <v>114</v>
      </c>
      <c r="F28" s="111"/>
      <c r="G28" s="111"/>
      <c r="H28" s="111"/>
      <c r="I28" s="120"/>
      <c r="J28" s="121"/>
    </row>
  </sheetData>
  <mergeCells count="4">
    <mergeCell ref="H1:J1"/>
    <mergeCell ref="A2:J2"/>
    <mergeCell ref="J12:J13"/>
    <mergeCell ref="J17:J18"/>
  </mergeCells>
  <pageMargins left="0.9055118110236221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7"/>
  <sheetViews>
    <sheetView workbookViewId="0">
      <selection activeCell="A5" sqref="A5:XFD5"/>
    </sheetView>
  </sheetViews>
  <sheetFormatPr defaultColWidth="9.33203125" defaultRowHeight="15" x14ac:dyDescent="0.25"/>
  <cols>
    <col min="1" max="1" width="30.5" style="1" customWidth="1"/>
    <col min="2" max="2" width="10.6640625" style="1" customWidth="1"/>
    <col min="3" max="3" width="13" style="1" customWidth="1"/>
    <col min="4" max="4" width="12.33203125" style="1" customWidth="1"/>
    <col min="5" max="5" width="9.6640625" style="1" customWidth="1"/>
    <col min="6" max="6" width="13.5" style="1" customWidth="1"/>
    <col min="7" max="7" width="13.6640625" style="1" customWidth="1"/>
    <col min="8" max="8" width="9.6640625" style="1" customWidth="1"/>
    <col min="9" max="9" width="11.6640625" style="1" customWidth="1"/>
    <col min="10" max="10" width="11.5" style="1" customWidth="1"/>
    <col min="11" max="11" width="9.83203125" style="1" customWidth="1"/>
    <col min="12" max="12" width="13.83203125" style="1" customWidth="1"/>
    <col min="13" max="14" width="14.33203125" style="1" customWidth="1"/>
    <col min="15" max="15" width="9.6640625" style="1" customWidth="1"/>
    <col min="16" max="16" width="10.1640625" style="1" customWidth="1"/>
    <col min="17" max="17" width="12.5" style="1" customWidth="1"/>
    <col min="18" max="18" width="9.33203125" style="1" customWidth="1"/>
    <col min="19" max="19" width="8.1640625" style="1" customWidth="1"/>
    <col min="20" max="20" width="11" style="1" customWidth="1"/>
    <col min="21" max="21" width="8.5" style="1" customWidth="1"/>
    <col min="22" max="22" width="10.33203125" style="1" customWidth="1"/>
    <col min="23" max="24" width="11.33203125" style="1" customWidth="1"/>
    <col min="25" max="25" width="13.1640625" style="1" customWidth="1"/>
    <col min="26" max="26" width="22.5" style="1" customWidth="1"/>
    <col min="27" max="16384" width="9.33203125" style="1"/>
  </cols>
  <sheetData>
    <row r="1" spans="1:24" ht="18.75" x14ac:dyDescent="0.3">
      <c r="A1" s="4" t="s">
        <v>20</v>
      </c>
    </row>
    <row r="3" spans="1:24" ht="86.25" customHeight="1" x14ac:dyDescent="0.25">
      <c r="A3" s="166" t="s">
        <v>0</v>
      </c>
      <c r="B3" s="161" t="s">
        <v>22</v>
      </c>
      <c r="C3" s="161"/>
      <c r="D3" s="161"/>
      <c r="E3" s="167" t="s">
        <v>23</v>
      </c>
      <c r="F3" s="168"/>
      <c r="G3" s="168"/>
      <c r="H3" s="168"/>
      <c r="I3" s="168"/>
      <c r="J3" s="169"/>
      <c r="K3" s="161" t="s">
        <v>21</v>
      </c>
      <c r="L3" s="161"/>
      <c r="M3" s="161"/>
      <c r="N3" s="66"/>
      <c r="O3" s="161" t="s">
        <v>9</v>
      </c>
      <c r="P3" s="161"/>
      <c r="Q3" s="161"/>
      <c r="R3" s="161" t="s">
        <v>37</v>
      </c>
      <c r="S3" s="161"/>
      <c r="T3" s="161"/>
      <c r="U3" s="161" t="s">
        <v>10</v>
      </c>
      <c r="V3" s="161"/>
      <c r="W3" s="161"/>
    </row>
    <row r="4" spans="1:24" ht="142.5" x14ac:dyDescent="0.25">
      <c r="A4" s="166"/>
      <c r="B4" s="10" t="s">
        <v>1</v>
      </c>
      <c r="C4" s="10" t="s">
        <v>12</v>
      </c>
      <c r="D4" s="66" t="s">
        <v>36</v>
      </c>
      <c r="E4" s="10" t="s">
        <v>1</v>
      </c>
      <c r="F4" s="10" t="s">
        <v>12</v>
      </c>
      <c r="G4" s="66" t="s">
        <v>36</v>
      </c>
      <c r="H4" s="8" t="s">
        <v>1</v>
      </c>
      <c r="I4" s="8" t="s">
        <v>12</v>
      </c>
      <c r="J4" s="9" t="s">
        <v>36</v>
      </c>
      <c r="K4" s="10" t="s">
        <v>1</v>
      </c>
      <c r="L4" s="10" t="s">
        <v>12</v>
      </c>
      <c r="M4" s="66" t="s">
        <v>36</v>
      </c>
      <c r="N4" s="66"/>
      <c r="O4" s="10" t="s">
        <v>1</v>
      </c>
      <c r="P4" s="10" t="s">
        <v>12</v>
      </c>
      <c r="Q4" s="66" t="s">
        <v>13</v>
      </c>
      <c r="R4" s="10" t="s">
        <v>1</v>
      </c>
      <c r="S4" s="10" t="s">
        <v>12</v>
      </c>
      <c r="T4" s="66" t="s">
        <v>13</v>
      </c>
      <c r="U4" s="10" t="s">
        <v>1</v>
      </c>
      <c r="V4" s="10" t="s">
        <v>12</v>
      </c>
      <c r="W4" s="66" t="s">
        <v>13</v>
      </c>
    </row>
    <row r="5" spans="1:24" ht="19.5" customHeight="1" x14ac:dyDescent="0.25">
      <c r="A5" s="3" t="s">
        <v>2</v>
      </c>
      <c r="B5" s="16">
        <f>62</f>
        <v>62</v>
      </c>
      <c r="C5" s="47">
        <f>2.1/1.2</f>
        <v>1.7500000000000002</v>
      </c>
      <c r="D5" s="15">
        <f>B5*C5*12</f>
        <v>1302.0000000000002</v>
      </c>
      <c r="E5" s="16">
        <f>49</f>
        <v>49</v>
      </c>
      <c r="F5" s="47">
        <f>2.1/1.2</f>
        <v>1.7500000000000002</v>
      </c>
      <c r="G5" s="15">
        <f>E5*F5*12</f>
        <v>1029.0000000000002</v>
      </c>
      <c r="H5" s="16">
        <v>1</v>
      </c>
      <c r="I5" s="47">
        <f>2.1/1.2</f>
        <v>1.7500000000000002</v>
      </c>
      <c r="J5" s="15">
        <f>H5*I5*3</f>
        <v>5.2500000000000009</v>
      </c>
      <c r="K5" s="16">
        <f t="shared" ref="K5:K10" si="0">B5+E5+H5</f>
        <v>112</v>
      </c>
      <c r="L5" s="48">
        <f>0.075/1.2</f>
        <v>6.25E-2</v>
      </c>
      <c r="M5" s="47">
        <f>K5*L5*12</f>
        <v>84</v>
      </c>
      <c r="N5" s="49">
        <f>D5+G5+J5+M5</f>
        <v>2420.2500000000005</v>
      </c>
      <c r="O5" s="16"/>
      <c r="P5" s="15"/>
      <c r="Q5" s="15"/>
      <c r="R5" s="16"/>
      <c r="S5" s="15"/>
      <c r="T5" s="15"/>
      <c r="U5" s="16"/>
      <c r="V5" s="15"/>
      <c r="W5" s="15"/>
      <c r="X5" s="32">
        <f>D5+G5+M5+Q5+W5+T5+J5</f>
        <v>2420.2500000000005</v>
      </c>
    </row>
    <row r="6" spans="1:24" ht="19.5" customHeight="1" x14ac:dyDescent="0.25">
      <c r="A6" s="3" t="s">
        <v>3</v>
      </c>
      <c r="B6" s="16">
        <f>51</f>
        <v>51</v>
      </c>
      <c r="C6" s="47">
        <f t="shared" ref="C6:C10" si="1">2.1/1.2</f>
        <v>1.7500000000000002</v>
      </c>
      <c r="D6" s="15">
        <f t="shared" ref="D6:D10" si="2">B6*C6*12</f>
        <v>1071.0000000000002</v>
      </c>
      <c r="E6" s="16">
        <f>19-1-1</f>
        <v>17</v>
      </c>
      <c r="F6" s="47">
        <f t="shared" ref="F6:F10" si="3">2.1/1.2</f>
        <v>1.7500000000000002</v>
      </c>
      <c r="G6" s="15">
        <f t="shared" ref="G6:G10" si="4">E6*F6*12</f>
        <v>357.00000000000006</v>
      </c>
      <c r="H6" s="16">
        <v>0</v>
      </c>
      <c r="I6" s="47">
        <f t="shared" ref="I6:I10" si="5">2.1/1.2</f>
        <v>1.7500000000000002</v>
      </c>
      <c r="J6" s="15">
        <f t="shared" ref="J6:J9" si="6">H6*I6*9</f>
        <v>0</v>
      </c>
      <c r="K6" s="16">
        <f t="shared" si="0"/>
        <v>68</v>
      </c>
      <c r="L6" s="48">
        <f t="shared" ref="L6:L10" si="7">0.075/1.2</f>
        <v>6.25E-2</v>
      </c>
      <c r="M6" s="47">
        <f t="shared" ref="M6:M10" si="8">K6*L6*12</f>
        <v>51</v>
      </c>
      <c r="N6" s="49">
        <f t="shared" ref="N6:N12" si="9">D6+G6+J6+M6</f>
        <v>1479.0000000000002</v>
      </c>
      <c r="O6" s="16"/>
      <c r="P6" s="15"/>
      <c r="Q6" s="15"/>
      <c r="R6" s="16"/>
      <c r="S6" s="15"/>
      <c r="T6" s="15"/>
      <c r="U6" s="16"/>
      <c r="V6" s="15"/>
      <c r="W6" s="15"/>
      <c r="X6" s="32">
        <f t="shared" ref="X6:X12" si="10">D6+G6+M6+Q6+W6+T6+J6</f>
        <v>1479.0000000000002</v>
      </c>
    </row>
    <row r="7" spans="1:24" ht="19.5" customHeight="1" x14ac:dyDescent="0.25">
      <c r="A7" s="3" t="s">
        <v>4</v>
      </c>
      <c r="B7" s="16">
        <f>65+1</f>
        <v>66</v>
      </c>
      <c r="C7" s="47">
        <f t="shared" si="1"/>
        <v>1.7500000000000002</v>
      </c>
      <c r="D7" s="15">
        <f t="shared" si="2"/>
        <v>1386.0000000000002</v>
      </c>
      <c r="E7" s="16">
        <f>113+1-3+1+27-1</f>
        <v>138</v>
      </c>
      <c r="F7" s="47">
        <f t="shared" si="3"/>
        <v>1.7500000000000002</v>
      </c>
      <c r="G7" s="15">
        <f t="shared" si="4"/>
        <v>2898.0000000000005</v>
      </c>
      <c r="H7" s="16">
        <v>10</v>
      </c>
      <c r="I7" s="47">
        <f t="shared" si="5"/>
        <v>1.7500000000000002</v>
      </c>
      <c r="J7" s="15">
        <f>5*I7*6+5*I7*3</f>
        <v>78.750000000000028</v>
      </c>
      <c r="K7" s="16">
        <f t="shared" si="0"/>
        <v>214</v>
      </c>
      <c r="L7" s="48">
        <f t="shared" si="7"/>
        <v>6.25E-2</v>
      </c>
      <c r="M7" s="47">
        <f t="shared" si="8"/>
        <v>160.5</v>
      </c>
      <c r="N7" s="49">
        <f t="shared" si="9"/>
        <v>4523.2500000000009</v>
      </c>
      <c r="O7" s="16">
        <v>2</v>
      </c>
      <c r="P7" s="15">
        <f>6/1.2</f>
        <v>5</v>
      </c>
      <c r="Q7" s="15">
        <f>O7*P7*12</f>
        <v>120</v>
      </c>
      <c r="R7" s="16"/>
      <c r="S7" s="15"/>
      <c r="T7" s="15"/>
      <c r="U7" s="16"/>
      <c r="V7" s="15"/>
      <c r="W7" s="15"/>
      <c r="X7" s="32">
        <f t="shared" si="10"/>
        <v>4643.2500000000009</v>
      </c>
    </row>
    <row r="8" spans="1:24" ht="19.5" customHeight="1" x14ac:dyDescent="0.25">
      <c r="A8" s="3" t="s">
        <v>5</v>
      </c>
      <c r="B8" s="16">
        <f>30</f>
        <v>30</v>
      </c>
      <c r="C8" s="47">
        <f t="shared" si="1"/>
        <v>1.7500000000000002</v>
      </c>
      <c r="D8" s="15">
        <f t="shared" si="2"/>
        <v>630.00000000000011</v>
      </c>
      <c r="E8" s="16">
        <f>21+1</f>
        <v>22</v>
      </c>
      <c r="F8" s="47">
        <f t="shared" si="3"/>
        <v>1.7500000000000002</v>
      </c>
      <c r="G8" s="15">
        <f t="shared" si="4"/>
        <v>462.00000000000011</v>
      </c>
      <c r="H8" s="16">
        <v>1</v>
      </c>
      <c r="I8" s="47">
        <f t="shared" si="5"/>
        <v>1.7500000000000002</v>
      </c>
      <c r="J8" s="15">
        <f>H8*I8*6</f>
        <v>10.500000000000002</v>
      </c>
      <c r="K8" s="16">
        <f t="shared" si="0"/>
        <v>53</v>
      </c>
      <c r="L8" s="48">
        <f t="shared" si="7"/>
        <v>6.25E-2</v>
      </c>
      <c r="M8" s="47">
        <f t="shared" si="8"/>
        <v>39.75</v>
      </c>
      <c r="N8" s="49">
        <f t="shared" si="9"/>
        <v>1142.2500000000002</v>
      </c>
      <c r="O8" s="16"/>
      <c r="P8" s="15"/>
      <c r="Q8" s="15"/>
      <c r="R8" s="61">
        <v>1</v>
      </c>
      <c r="S8" s="69">
        <v>2.3680560000000002</v>
      </c>
      <c r="T8" s="70">
        <f>R8*S8*12</f>
        <v>28.416672000000002</v>
      </c>
      <c r="U8" s="16"/>
      <c r="V8" s="15"/>
      <c r="W8" s="15"/>
      <c r="X8" s="32">
        <f t="shared" si="10"/>
        <v>1170.6666720000003</v>
      </c>
    </row>
    <row r="9" spans="1:24" ht="19.5" customHeight="1" x14ac:dyDescent="0.25">
      <c r="A9" s="3" t="s">
        <v>6</v>
      </c>
      <c r="B9" s="16">
        <f>37-1</f>
        <v>36</v>
      </c>
      <c r="C9" s="47">
        <f t="shared" si="1"/>
        <v>1.7500000000000002</v>
      </c>
      <c r="D9" s="15">
        <f t="shared" si="2"/>
        <v>756.00000000000011</v>
      </c>
      <c r="E9" s="16">
        <f>17</f>
        <v>17</v>
      </c>
      <c r="F9" s="47">
        <f t="shared" si="3"/>
        <v>1.7500000000000002</v>
      </c>
      <c r="G9" s="15">
        <f t="shared" si="4"/>
        <v>357.00000000000006</v>
      </c>
      <c r="H9" s="16">
        <v>0</v>
      </c>
      <c r="I9" s="47">
        <f t="shared" si="5"/>
        <v>1.7500000000000002</v>
      </c>
      <c r="J9" s="15">
        <f t="shared" si="6"/>
        <v>0</v>
      </c>
      <c r="K9" s="16">
        <f t="shared" si="0"/>
        <v>53</v>
      </c>
      <c r="L9" s="48">
        <f t="shared" si="7"/>
        <v>6.25E-2</v>
      </c>
      <c r="M9" s="47">
        <f t="shared" si="8"/>
        <v>39.75</v>
      </c>
      <c r="N9" s="49">
        <f t="shared" si="9"/>
        <v>1152.7500000000002</v>
      </c>
      <c r="O9" s="16"/>
      <c r="P9" s="15"/>
      <c r="Q9" s="15"/>
      <c r="R9" s="16"/>
      <c r="S9" s="15"/>
      <c r="T9" s="15"/>
      <c r="U9" s="16"/>
      <c r="V9" s="15"/>
      <c r="W9" s="15"/>
      <c r="X9" s="32">
        <f t="shared" si="10"/>
        <v>1152.7500000000002</v>
      </c>
    </row>
    <row r="10" spans="1:24" ht="19.5" customHeight="1" x14ac:dyDescent="0.25">
      <c r="A10" s="3" t="s">
        <v>7</v>
      </c>
      <c r="B10" s="16">
        <f>38+2</f>
        <v>40</v>
      </c>
      <c r="C10" s="47">
        <f t="shared" si="1"/>
        <v>1.7500000000000002</v>
      </c>
      <c r="D10" s="15">
        <f t="shared" si="2"/>
        <v>840.00000000000023</v>
      </c>
      <c r="E10" s="16">
        <f>24</f>
        <v>24</v>
      </c>
      <c r="F10" s="47">
        <f t="shared" si="3"/>
        <v>1.7500000000000002</v>
      </c>
      <c r="G10" s="15">
        <f t="shared" si="4"/>
        <v>504.00000000000011</v>
      </c>
      <c r="H10" s="16">
        <v>2</v>
      </c>
      <c r="I10" s="47">
        <f t="shared" si="5"/>
        <v>1.7500000000000002</v>
      </c>
      <c r="J10" s="15">
        <f>1*I10*6</f>
        <v>10.500000000000002</v>
      </c>
      <c r="K10" s="16">
        <f t="shared" si="0"/>
        <v>66</v>
      </c>
      <c r="L10" s="48">
        <f t="shared" si="7"/>
        <v>6.25E-2</v>
      </c>
      <c r="M10" s="47">
        <f t="shared" si="8"/>
        <v>49.5</v>
      </c>
      <c r="N10" s="49">
        <f t="shared" si="9"/>
        <v>1404.0000000000005</v>
      </c>
      <c r="O10" s="16"/>
      <c r="P10" s="15"/>
      <c r="Q10" s="15"/>
      <c r="R10" s="16"/>
      <c r="S10" s="15"/>
      <c r="T10" s="15"/>
      <c r="U10" s="16"/>
      <c r="V10" s="15"/>
      <c r="W10" s="15"/>
      <c r="X10" s="32">
        <f t="shared" si="10"/>
        <v>1404.0000000000005</v>
      </c>
    </row>
    <row r="11" spans="1:24" ht="19.5" customHeight="1" x14ac:dyDescent="0.25">
      <c r="A11" s="5" t="s">
        <v>11</v>
      </c>
      <c r="B11" s="17"/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49"/>
      <c r="N11" s="49">
        <f t="shared" si="9"/>
        <v>0</v>
      </c>
      <c r="O11" s="17"/>
      <c r="P11" s="18"/>
      <c r="Q11" s="18"/>
      <c r="R11" s="17"/>
      <c r="S11" s="50"/>
      <c r="T11" s="18"/>
      <c r="U11" s="17">
        <v>1</v>
      </c>
      <c r="V11" s="50">
        <f>2.5/1.2</f>
        <v>2.0833333333333335</v>
      </c>
      <c r="W11" s="18">
        <f>U11*V11*12</f>
        <v>25</v>
      </c>
      <c r="X11" s="32">
        <f t="shared" si="10"/>
        <v>25</v>
      </c>
    </row>
    <row r="12" spans="1:24" s="20" customFormat="1" ht="19.5" customHeight="1" x14ac:dyDescent="0.25">
      <c r="A12" s="19" t="s">
        <v>8</v>
      </c>
      <c r="B12" s="13">
        <f>SUM(B5:B11)</f>
        <v>285</v>
      </c>
      <c r="C12" s="13"/>
      <c r="D12" s="12">
        <f>SUM(D5:D11)</f>
        <v>5985.0000000000009</v>
      </c>
      <c r="E12" s="13">
        <f t="shared" ref="E12:U12" si="11">SUM(E5:E11)</f>
        <v>267</v>
      </c>
      <c r="F12" s="13"/>
      <c r="G12" s="12">
        <f t="shared" si="11"/>
        <v>5607.0000000000009</v>
      </c>
      <c r="H12" s="13">
        <f>SUM(H5:H11)</f>
        <v>14</v>
      </c>
      <c r="I12" s="13"/>
      <c r="J12" s="12">
        <f>SUM(J5:J11)</f>
        <v>105.00000000000003</v>
      </c>
      <c r="K12" s="13">
        <f t="shared" si="11"/>
        <v>566</v>
      </c>
      <c r="L12" s="13"/>
      <c r="M12" s="14">
        <f t="shared" si="11"/>
        <v>424.5</v>
      </c>
      <c r="N12" s="49">
        <f t="shared" si="9"/>
        <v>12121.500000000002</v>
      </c>
      <c r="O12" s="13">
        <f t="shared" si="11"/>
        <v>2</v>
      </c>
      <c r="P12" s="13"/>
      <c r="Q12" s="12">
        <f t="shared" si="11"/>
        <v>120</v>
      </c>
      <c r="R12" s="13">
        <f>SUM(R5:R11)</f>
        <v>1</v>
      </c>
      <c r="S12" s="13"/>
      <c r="T12" s="12">
        <f t="shared" ref="T12" si="12">SUM(T5:T11)</f>
        <v>28.416672000000002</v>
      </c>
      <c r="U12" s="13">
        <f t="shared" si="11"/>
        <v>1</v>
      </c>
      <c r="V12" s="13"/>
      <c r="W12" s="12">
        <f t="shared" ref="W12" si="13">SUM(W5:W11)</f>
        <v>25</v>
      </c>
      <c r="X12" s="32">
        <f t="shared" si="10"/>
        <v>12294.916672000001</v>
      </c>
    </row>
    <row r="13" spans="1:24" s="2" customFormat="1" ht="19.5" customHeight="1" x14ac:dyDescent="0.25">
      <c r="A13" s="6"/>
      <c r="B13" s="7"/>
      <c r="C13" s="7"/>
      <c r="D13" s="11"/>
      <c r="E13" s="7"/>
      <c r="F13" s="7"/>
      <c r="G13" s="11"/>
      <c r="H13" s="7"/>
      <c r="I13" s="7"/>
      <c r="J13" s="11"/>
      <c r="K13" s="7"/>
      <c r="L13" s="7"/>
      <c r="M13" s="11"/>
      <c r="N13" s="11" t="e">
        <f>N12-#REF!-#REF!-#REF!-#REF!-#REF!</f>
        <v>#REF!</v>
      </c>
      <c r="O13" s="7"/>
      <c r="P13" s="7"/>
      <c r="Q13" s="11"/>
      <c r="R13" s="7"/>
      <c r="S13" s="7"/>
      <c r="T13" s="11"/>
      <c r="U13" s="7"/>
      <c r="V13" s="7"/>
      <c r="W13" s="11"/>
    </row>
    <row r="14" spans="1:24" ht="25.5" hidden="1" customHeight="1" x14ac:dyDescent="0.25">
      <c r="A14" s="68" t="s">
        <v>18</v>
      </c>
      <c r="B14" s="68" t="s">
        <v>24</v>
      </c>
      <c r="C14" s="68" t="s">
        <v>25</v>
      </c>
      <c r="D14" s="162" t="s">
        <v>28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U14"/>
      <c r="V14"/>
    </row>
    <row r="15" spans="1:24" ht="25.5" hidden="1" x14ac:dyDescent="0.25">
      <c r="A15" s="68" t="s">
        <v>0</v>
      </c>
      <c r="B15" s="21" t="s">
        <v>17</v>
      </c>
      <c r="C15" s="21" t="s">
        <v>17</v>
      </c>
      <c r="D15" s="163"/>
      <c r="E15"/>
      <c r="F15" s="35" t="s">
        <v>29</v>
      </c>
      <c r="G15"/>
      <c r="H15"/>
      <c r="I15" s="35" t="s">
        <v>29</v>
      </c>
      <c r="J15"/>
      <c r="K15"/>
      <c r="L15"/>
      <c r="M15"/>
      <c r="N15"/>
      <c r="O15"/>
      <c r="P15"/>
      <c r="Q15"/>
      <c r="R15"/>
      <c r="S15"/>
      <c r="U15"/>
      <c r="V15"/>
    </row>
    <row r="16" spans="1:24" ht="21" hidden="1" customHeight="1" x14ac:dyDescent="0.25">
      <c r="A16" s="68" t="s">
        <v>19</v>
      </c>
      <c r="B16" s="24">
        <v>885342.38</v>
      </c>
      <c r="C16" s="24">
        <v>937190.69</v>
      </c>
      <c r="D16" s="29"/>
      <c r="E16" s="25">
        <f>SUM(E17:E41)</f>
        <v>160.13316060095246</v>
      </c>
      <c r="F16"/>
      <c r="G16"/>
      <c r="H16" s="25" t="e">
        <f>SUM(H17:H41)</f>
        <v>#REF!</v>
      </c>
      <c r="I16"/>
      <c r="J16"/>
      <c r="K16"/>
      <c r="L16"/>
      <c r="M16"/>
      <c r="N16"/>
      <c r="O16"/>
      <c r="P16"/>
      <c r="Q16"/>
      <c r="R16"/>
      <c r="S16"/>
      <c r="U16"/>
      <c r="V16"/>
    </row>
    <row r="17" spans="1:22" ht="25.5" hidden="1" x14ac:dyDescent="0.25">
      <c r="A17" s="22" t="s">
        <v>26</v>
      </c>
      <c r="B17" s="24">
        <v>30178.37</v>
      </c>
      <c r="C17" s="24">
        <v>31970.35</v>
      </c>
      <c r="D17" s="30">
        <f>SUM(D18:D23)</f>
        <v>503.00017333333324</v>
      </c>
      <c r="E17" s="26">
        <f>K12-D17</f>
        <v>62.999826666666763</v>
      </c>
      <c r="F17"/>
      <c r="G17"/>
      <c r="H17" s="26" t="e">
        <f>#REF!-G17</f>
        <v>#REF!</v>
      </c>
      <c r="I17"/>
      <c r="J17"/>
      <c r="K17"/>
      <c r="L17"/>
      <c r="M17"/>
      <c r="N17"/>
      <c r="O17"/>
      <c r="P17"/>
      <c r="Q17"/>
      <c r="R17"/>
      <c r="S17"/>
      <c r="U17"/>
      <c r="V17"/>
    </row>
    <row r="18" spans="1:22" hidden="1" x14ac:dyDescent="0.25">
      <c r="A18" s="23" t="s">
        <v>2</v>
      </c>
      <c r="B18" s="24">
        <v>6702.43</v>
      </c>
      <c r="C18" s="24">
        <v>6737.29</v>
      </c>
      <c r="D18" s="31">
        <f>C18/(75/1.18)</f>
        <v>106.00002933333332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U18"/>
      <c r="V18"/>
    </row>
    <row r="19" spans="1:22" hidden="1" x14ac:dyDescent="0.25">
      <c r="A19" s="23" t="s">
        <v>3</v>
      </c>
      <c r="B19" s="24">
        <v>4131.3599999999997</v>
      </c>
      <c r="C19" s="24">
        <v>4131.3599999999997</v>
      </c>
      <c r="D19" s="31">
        <f t="shared" ref="D19:D23" si="14">C19/(75/1.18)</f>
        <v>65.000063999999995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U19"/>
      <c r="V19"/>
    </row>
    <row r="20" spans="1:22" hidden="1" x14ac:dyDescent="0.25">
      <c r="A20" s="23" t="s">
        <v>4</v>
      </c>
      <c r="B20" s="24">
        <v>9406.7800000000007</v>
      </c>
      <c r="C20" s="24">
        <v>11122.88</v>
      </c>
      <c r="D20" s="31">
        <f t="shared" si="14"/>
        <v>174.99997866666664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U20"/>
      <c r="V20"/>
    </row>
    <row r="21" spans="1:22" hidden="1" x14ac:dyDescent="0.25">
      <c r="A21" s="23" t="s">
        <v>5</v>
      </c>
      <c r="B21" s="24">
        <v>3050.85</v>
      </c>
      <c r="C21" s="24">
        <v>3050.85</v>
      </c>
      <c r="D21" s="31">
        <f t="shared" si="14"/>
        <v>48.000039999999991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U21"/>
      <c r="V21"/>
    </row>
    <row r="22" spans="1:22" hidden="1" x14ac:dyDescent="0.25">
      <c r="A22" s="23" t="s">
        <v>6</v>
      </c>
      <c r="B22" s="24">
        <v>3114.41</v>
      </c>
      <c r="C22" s="24">
        <v>3114.41</v>
      </c>
      <c r="D22" s="31">
        <f t="shared" si="14"/>
        <v>49.00005066666666</v>
      </c>
      <c r="E22"/>
      <c r="F22">
        <v>-1</v>
      </c>
      <c r="G22"/>
      <c r="H22"/>
      <c r="I22">
        <v>-1</v>
      </c>
      <c r="J22"/>
      <c r="K22"/>
      <c r="L22"/>
      <c r="M22"/>
      <c r="N22"/>
      <c r="O22"/>
      <c r="P22"/>
      <c r="Q22"/>
      <c r="R22"/>
      <c r="S22"/>
      <c r="U22"/>
      <c r="V22"/>
    </row>
    <row r="23" spans="1:22" hidden="1" x14ac:dyDescent="0.25">
      <c r="A23" s="23" t="s">
        <v>7</v>
      </c>
      <c r="B23" s="24">
        <v>3772.54</v>
      </c>
      <c r="C23" s="24">
        <v>3813.56</v>
      </c>
      <c r="D23" s="31">
        <f t="shared" si="14"/>
        <v>60.000010666666661</v>
      </c>
      <c r="E23"/>
      <c r="F23">
        <f>2</f>
        <v>2</v>
      </c>
      <c r="G23"/>
      <c r="H23"/>
      <c r="I23">
        <f>2</f>
        <v>2</v>
      </c>
      <c r="J23"/>
      <c r="K23"/>
      <c r="L23"/>
      <c r="M23"/>
      <c r="N23"/>
      <c r="O23"/>
      <c r="P23"/>
      <c r="Q23"/>
      <c r="R23"/>
      <c r="S23"/>
      <c r="U23"/>
      <c r="V23"/>
    </row>
    <row r="24" spans="1:22" ht="25.5" hidden="1" x14ac:dyDescent="0.25">
      <c r="A24" s="51" t="s">
        <v>27</v>
      </c>
      <c r="B24" s="52">
        <v>341350.45</v>
      </c>
      <c r="C24" s="52">
        <v>391406.78</v>
      </c>
      <c r="D24" s="53">
        <f>SUM(D25:D30)</f>
        <v>219.93333352380952</v>
      </c>
      <c r="E24" s="26">
        <f>E12-D24</f>
        <v>47.066666476190477</v>
      </c>
      <c r="F24"/>
      <c r="G24"/>
      <c r="H24" s="26">
        <f>H12-G24</f>
        <v>14</v>
      </c>
      <c r="I24"/>
      <c r="J24"/>
      <c r="K24"/>
      <c r="L24"/>
      <c r="M24"/>
      <c r="N24"/>
      <c r="O24"/>
      <c r="P24"/>
      <c r="Q24"/>
      <c r="R24"/>
      <c r="S24"/>
      <c r="U24"/>
      <c r="V24"/>
    </row>
    <row r="25" spans="1:22" hidden="1" x14ac:dyDescent="0.25">
      <c r="A25" s="54" t="s">
        <v>2</v>
      </c>
      <c r="B25" s="52">
        <v>79108.81</v>
      </c>
      <c r="C25" s="52">
        <v>80084.75</v>
      </c>
      <c r="D25" s="55">
        <f>C25/(2100/1.18)</f>
        <v>45.000002380952381</v>
      </c>
      <c r="E25" s="25">
        <f t="shared" ref="E25:E30" si="15">E5-D25</f>
        <v>3.999997619047619</v>
      </c>
      <c r="F25"/>
      <c r="G25"/>
      <c r="H25" s="25">
        <f t="shared" ref="H25:H30" si="16">H5-G25</f>
        <v>1</v>
      </c>
      <c r="I25"/>
      <c r="J25"/>
      <c r="K25"/>
      <c r="L25"/>
      <c r="M25"/>
      <c r="N25"/>
      <c r="O25"/>
      <c r="P25"/>
      <c r="Q25"/>
      <c r="R25"/>
      <c r="S25"/>
      <c r="U25"/>
      <c r="V25"/>
    </row>
    <row r="26" spans="1:22" hidden="1" x14ac:dyDescent="0.25">
      <c r="A26" s="54" t="s">
        <v>3</v>
      </c>
      <c r="B26" s="52">
        <v>24915.25</v>
      </c>
      <c r="C26" s="52">
        <v>24915.25</v>
      </c>
      <c r="D26" s="55">
        <f t="shared" ref="D26:D30" si="17">C26/(2100/1.18)</f>
        <v>13.999997619047619</v>
      </c>
      <c r="E26" s="25">
        <f t="shared" si="15"/>
        <v>3.000002380952381</v>
      </c>
      <c r="F26"/>
      <c r="G26"/>
      <c r="H26" s="25">
        <f t="shared" si="16"/>
        <v>0</v>
      </c>
      <c r="I26"/>
      <c r="J26"/>
      <c r="K26"/>
      <c r="L26"/>
      <c r="M26"/>
      <c r="N26"/>
      <c r="O26"/>
      <c r="P26"/>
      <c r="Q26"/>
      <c r="R26"/>
      <c r="S26"/>
      <c r="U26"/>
      <c r="V26"/>
    </row>
    <row r="27" spans="1:22" hidden="1" x14ac:dyDescent="0.25">
      <c r="A27" s="54" t="s">
        <v>4</v>
      </c>
      <c r="B27" s="52">
        <v>145932.20000000001</v>
      </c>
      <c r="C27" s="52">
        <v>193864.41</v>
      </c>
      <c r="D27" s="55">
        <f t="shared" si="17"/>
        <v>108.93333514285715</v>
      </c>
      <c r="E27" s="25">
        <f t="shared" si="15"/>
        <v>29.066664857142854</v>
      </c>
      <c r="F27"/>
      <c r="G27"/>
      <c r="H27" s="25">
        <f t="shared" si="16"/>
        <v>10</v>
      </c>
      <c r="I27"/>
      <c r="J27"/>
      <c r="K27"/>
      <c r="L27"/>
      <c r="M27"/>
      <c r="N27"/>
      <c r="O27"/>
      <c r="P27"/>
      <c r="Q27"/>
      <c r="R27"/>
      <c r="S27"/>
      <c r="U27"/>
      <c r="V27"/>
    </row>
    <row r="28" spans="1:22" hidden="1" x14ac:dyDescent="0.25">
      <c r="A28" s="54" t="s">
        <v>5</v>
      </c>
      <c r="B28" s="52">
        <v>32033.9</v>
      </c>
      <c r="C28" s="52">
        <v>32033.9</v>
      </c>
      <c r="D28" s="55">
        <f t="shared" si="17"/>
        <v>18.000000952380955</v>
      </c>
      <c r="E28" s="25">
        <f t="shared" si="15"/>
        <v>3.9999990476190455</v>
      </c>
      <c r="F28"/>
      <c r="G28"/>
      <c r="H28" s="25">
        <f t="shared" si="16"/>
        <v>1</v>
      </c>
      <c r="I28"/>
      <c r="J28"/>
      <c r="K28"/>
      <c r="L28"/>
      <c r="M28"/>
      <c r="N28"/>
      <c r="O28"/>
      <c r="P28"/>
      <c r="Q28"/>
      <c r="R28"/>
      <c r="S28"/>
      <c r="U28"/>
      <c r="V28"/>
    </row>
    <row r="29" spans="1:22" hidden="1" x14ac:dyDescent="0.25">
      <c r="A29" s="54" t="s">
        <v>6</v>
      </c>
      <c r="B29" s="52">
        <v>21355.93</v>
      </c>
      <c r="C29" s="52">
        <v>21355.93</v>
      </c>
      <c r="D29" s="55">
        <f t="shared" si="17"/>
        <v>11.999998761904761</v>
      </c>
      <c r="E29" s="25">
        <f t="shared" si="15"/>
        <v>5.0000012380952388</v>
      </c>
      <c r="F29"/>
      <c r="G29"/>
      <c r="H29" s="25">
        <f t="shared" si="16"/>
        <v>0</v>
      </c>
      <c r="I29"/>
      <c r="J29"/>
      <c r="K29"/>
      <c r="L29"/>
      <c r="M29"/>
      <c r="N29"/>
      <c r="O29"/>
      <c r="P29"/>
      <c r="Q29"/>
      <c r="R29"/>
      <c r="S29"/>
      <c r="U29"/>
      <c r="V29"/>
    </row>
    <row r="30" spans="1:22" hidden="1" x14ac:dyDescent="0.25">
      <c r="A30" s="54" t="s">
        <v>7</v>
      </c>
      <c r="B30" s="52">
        <v>38004.36</v>
      </c>
      <c r="C30" s="52">
        <v>39152.54</v>
      </c>
      <c r="D30" s="55">
        <f t="shared" si="17"/>
        <v>21.999998666666666</v>
      </c>
      <c r="E30" s="25">
        <f t="shared" si="15"/>
        <v>2.0000013333333335</v>
      </c>
      <c r="F30"/>
      <c r="G30"/>
      <c r="H30" s="25">
        <f t="shared" si="16"/>
        <v>2</v>
      </c>
      <c r="I30"/>
      <c r="J30"/>
      <c r="K30"/>
      <c r="L30"/>
      <c r="M30"/>
      <c r="N30"/>
      <c r="O30"/>
      <c r="P30"/>
      <c r="Q30"/>
      <c r="R30"/>
      <c r="S30"/>
      <c r="U30"/>
      <c r="V30"/>
    </row>
    <row r="31" spans="1:22" ht="25.5" hidden="1" x14ac:dyDescent="0.25">
      <c r="A31" s="56" t="s">
        <v>22</v>
      </c>
      <c r="B31" s="57">
        <v>503644.07</v>
      </c>
      <c r="C31" s="57">
        <v>503644.07</v>
      </c>
      <c r="D31" s="58">
        <f>SUM(D32:D37)</f>
        <v>283.00000123809525</v>
      </c>
      <c r="E31" s="26">
        <f>B12-D31</f>
        <v>1.9999987619047488</v>
      </c>
      <c r="F31"/>
      <c r="G31"/>
      <c r="H31" s="26">
        <f>E12-G31</f>
        <v>267</v>
      </c>
      <c r="I31"/>
      <c r="J31"/>
      <c r="K31"/>
      <c r="L31"/>
      <c r="M31"/>
      <c r="N31"/>
      <c r="O31"/>
      <c r="P31"/>
      <c r="Q31"/>
      <c r="R31"/>
      <c r="S31"/>
      <c r="U31"/>
      <c r="V31"/>
    </row>
    <row r="32" spans="1:22" hidden="1" x14ac:dyDescent="0.25">
      <c r="A32" s="59" t="s">
        <v>2</v>
      </c>
      <c r="B32" s="57">
        <v>108559.32</v>
      </c>
      <c r="C32" s="57">
        <v>108559.32</v>
      </c>
      <c r="D32" s="28">
        <f>C32/(2100/1.18)</f>
        <v>60.999998857142863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U32"/>
      <c r="V32"/>
    </row>
    <row r="33" spans="1:22" hidden="1" x14ac:dyDescent="0.25">
      <c r="A33" s="59" t="s">
        <v>3</v>
      </c>
      <c r="B33" s="57">
        <v>90762.71</v>
      </c>
      <c r="C33" s="57">
        <v>90762.71</v>
      </c>
      <c r="D33" s="60">
        <f t="shared" ref="D33:D37" si="18">C33/(2100/1.18)</f>
        <v>50.999998952380956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U33"/>
      <c r="V33"/>
    </row>
    <row r="34" spans="1:22" hidden="1" x14ac:dyDescent="0.25">
      <c r="A34" s="59" t="s">
        <v>4</v>
      </c>
      <c r="B34" s="57">
        <v>117457.63</v>
      </c>
      <c r="C34" s="57">
        <v>117457.63</v>
      </c>
      <c r="D34" s="60">
        <f t="shared" si="18"/>
        <v>66.000001619047623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U34"/>
      <c r="V34"/>
    </row>
    <row r="35" spans="1:22" hidden="1" x14ac:dyDescent="0.25">
      <c r="A35" s="59" t="s">
        <v>5</v>
      </c>
      <c r="B35" s="57">
        <v>53389.83</v>
      </c>
      <c r="C35" s="57">
        <v>53389.83</v>
      </c>
      <c r="D35" s="60">
        <f t="shared" si="18"/>
        <v>29.999999714285714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U35"/>
      <c r="V35"/>
    </row>
    <row r="36" spans="1:22" hidden="1" x14ac:dyDescent="0.25">
      <c r="A36" s="59" t="s">
        <v>6</v>
      </c>
      <c r="B36" s="57">
        <v>65847.460000000006</v>
      </c>
      <c r="C36" s="57">
        <v>65847.460000000006</v>
      </c>
      <c r="D36" s="60">
        <f t="shared" si="18"/>
        <v>37.000001333333337</v>
      </c>
      <c r="E36">
        <v>-1</v>
      </c>
      <c r="F36"/>
      <c r="G36"/>
      <c r="H36">
        <v>-1</v>
      </c>
      <c r="I36"/>
      <c r="J36"/>
      <c r="K36"/>
      <c r="L36"/>
      <c r="M36"/>
      <c r="N36"/>
      <c r="O36"/>
      <c r="P36"/>
      <c r="Q36"/>
      <c r="R36"/>
      <c r="S36"/>
      <c r="U36"/>
      <c r="V36"/>
    </row>
    <row r="37" spans="1:22" hidden="1" x14ac:dyDescent="0.25">
      <c r="A37" s="59" t="s">
        <v>7</v>
      </c>
      <c r="B37" s="57">
        <v>67627.12</v>
      </c>
      <c r="C37" s="57">
        <v>67627.12</v>
      </c>
      <c r="D37" s="60">
        <f t="shared" si="18"/>
        <v>38.000000761904758</v>
      </c>
      <c r="E37">
        <v>2</v>
      </c>
      <c r="F37"/>
      <c r="G37"/>
      <c r="H37">
        <v>2</v>
      </c>
      <c r="I37"/>
      <c r="J37"/>
      <c r="K37"/>
      <c r="L37"/>
      <c r="M37"/>
      <c r="N37"/>
      <c r="O37"/>
      <c r="P37"/>
      <c r="Q37"/>
      <c r="R37"/>
      <c r="S37"/>
      <c r="U37"/>
      <c r="V37"/>
    </row>
    <row r="38" spans="1:22" ht="25.5" hidden="1" x14ac:dyDescent="0.25">
      <c r="A38" s="22" t="s">
        <v>15</v>
      </c>
      <c r="B38" s="24">
        <v>10169.49</v>
      </c>
      <c r="C38" s="24">
        <v>10169.49</v>
      </c>
      <c r="D38" s="30">
        <f>SUM(D39)</f>
        <v>1.9999996999999998</v>
      </c>
      <c r="E38" s="25">
        <f>O12-D38</f>
        <v>3.0000000017516015E-7</v>
      </c>
      <c r="F38"/>
      <c r="G38"/>
      <c r="H38" s="25">
        <f>R12-G38</f>
        <v>1</v>
      </c>
      <c r="I38"/>
      <c r="J38"/>
      <c r="K38"/>
      <c r="L38"/>
      <c r="M38"/>
      <c r="N38"/>
      <c r="O38"/>
      <c r="P38"/>
      <c r="Q38"/>
      <c r="R38"/>
      <c r="S38"/>
      <c r="U38"/>
      <c r="V38"/>
    </row>
    <row r="39" spans="1:22" hidden="1" x14ac:dyDescent="0.25">
      <c r="A39" s="23" t="s">
        <v>4</v>
      </c>
      <c r="B39" s="24">
        <v>10169.49</v>
      </c>
      <c r="C39" s="24">
        <v>10169.49</v>
      </c>
      <c r="D39" s="31">
        <f>C39/(6000/1.18)</f>
        <v>1.9999996999999998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U39"/>
      <c r="V39"/>
    </row>
    <row r="40" spans="1:22" ht="25.5" hidden="1" x14ac:dyDescent="0.25">
      <c r="A40" s="22" t="s">
        <v>16</v>
      </c>
      <c r="B40" s="24">
        <v>2118.64</v>
      </c>
      <c r="C40" s="24">
        <v>2118.64</v>
      </c>
      <c r="D40" s="34">
        <f>SUM(D41)</f>
        <v>0.9999980799999999</v>
      </c>
      <c r="E40" s="25">
        <f>U12-D40</f>
        <v>1.9200000000996198E-6</v>
      </c>
      <c r="F40"/>
      <c r="G40"/>
      <c r="H40" s="25">
        <f>X12-G40</f>
        <v>12294.916672000001</v>
      </c>
      <c r="I40"/>
      <c r="J40"/>
      <c r="K40"/>
      <c r="L40"/>
      <c r="M40"/>
      <c r="N40"/>
      <c r="O40"/>
      <c r="P40"/>
      <c r="Q40"/>
      <c r="R40"/>
      <c r="S40"/>
      <c r="U40"/>
      <c r="V40"/>
    </row>
    <row r="41" spans="1:22" hidden="1" x14ac:dyDescent="0.25">
      <c r="A41" s="23" t="s">
        <v>14</v>
      </c>
      <c r="B41" s="24">
        <v>2118.64</v>
      </c>
      <c r="C41" s="24">
        <v>2118.64</v>
      </c>
      <c r="D41" s="33">
        <f>C41/(2500/1.18)</f>
        <v>0.9999980799999999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U41"/>
      <c r="V41"/>
    </row>
    <row r="42" spans="1:22" hidden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U42"/>
      <c r="V42"/>
    </row>
    <row r="43" spans="1:22" hidden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U43"/>
      <c r="V43"/>
    </row>
    <row r="44" spans="1:22" ht="25.5" hidden="1" x14ac:dyDescent="0.25">
      <c r="A44" s="68" t="s">
        <v>30</v>
      </c>
      <c r="B44" s="68" t="s">
        <v>31</v>
      </c>
      <c r="C44" s="37">
        <v>12687999.23</v>
      </c>
      <c r="D44" s="38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U44"/>
      <c r="V44"/>
    </row>
    <row r="45" spans="1:22" hidden="1" x14ac:dyDescent="0.25">
      <c r="A45" s="45" t="s">
        <v>5</v>
      </c>
      <c r="B45" s="45"/>
      <c r="C45" s="27">
        <v>28416.67</v>
      </c>
      <c r="D45" s="46">
        <f>C45/(2100/1.2)/12</f>
        <v>1.3531747619047618</v>
      </c>
      <c r="E45">
        <f>C45/12</f>
        <v>2368.0558333333333</v>
      </c>
      <c r="F45"/>
      <c r="G45"/>
      <c r="H45">
        <f>F45/12</f>
        <v>0</v>
      </c>
      <c r="I45"/>
      <c r="J45"/>
      <c r="K45"/>
      <c r="L45"/>
      <c r="M45"/>
      <c r="N45"/>
      <c r="O45"/>
      <c r="P45"/>
      <c r="Q45"/>
      <c r="R45"/>
      <c r="S45"/>
      <c r="U45"/>
      <c r="V45"/>
    </row>
    <row r="46" spans="1:22" hidden="1" x14ac:dyDescent="0.25">
      <c r="A46" s="45" t="s">
        <v>5</v>
      </c>
      <c r="B46" s="45"/>
      <c r="C46" s="27">
        <v>25000</v>
      </c>
      <c r="D46" s="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U46"/>
      <c r="V46"/>
    </row>
    <row r="47" spans="1:22" ht="25.5" hidden="1" x14ac:dyDescent="0.25">
      <c r="A47" s="22" t="s">
        <v>26</v>
      </c>
      <c r="B47" s="22"/>
      <c r="C47" s="37">
        <v>368546.1</v>
      </c>
      <c r="D47" s="39">
        <f>SUM(D48:D53)</f>
        <v>556.14480000000003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U47"/>
      <c r="V47"/>
    </row>
    <row r="48" spans="1:22" hidden="1" x14ac:dyDescent="0.25">
      <c r="A48" s="23" t="s">
        <v>2</v>
      </c>
      <c r="B48" s="23"/>
      <c r="C48" s="24">
        <v>82875</v>
      </c>
      <c r="D48" s="40">
        <f>C48/(75/1.2)/12</f>
        <v>110.5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U48"/>
      <c r="V48"/>
    </row>
    <row r="49" spans="1:22" hidden="1" x14ac:dyDescent="0.25">
      <c r="A49" s="23" t="s">
        <v>3</v>
      </c>
      <c r="B49" s="23"/>
      <c r="C49" s="24">
        <v>51483.6</v>
      </c>
      <c r="D49" s="40">
        <f t="shared" ref="D49:D52" si="19">C49/(75/1.2)/12</f>
        <v>68.644799999999989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U49"/>
      <c r="V49"/>
    </row>
    <row r="50" spans="1:22" hidden="1" x14ac:dyDescent="0.25">
      <c r="A50" s="23" t="s">
        <v>4</v>
      </c>
      <c r="B50" s="23"/>
      <c r="C50" s="24">
        <v>155250</v>
      </c>
      <c r="D50" s="40">
        <f t="shared" si="19"/>
        <v>207</v>
      </c>
    </row>
    <row r="51" spans="1:22" hidden="1" x14ac:dyDescent="0.25">
      <c r="A51" s="23" t="s">
        <v>5</v>
      </c>
      <c r="B51" s="23"/>
      <c r="C51" s="24">
        <v>39375</v>
      </c>
      <c r="D51" s="40">
        <f t="shared" si="19"/>
        <v>52.5</v>
      </c>
    </row>
    <row r="52" spans="1:22" hidden="1" x14ac:dyDescent="0.25">
      <c r="A52" s="23" t="s">
        <v>6</v>
      </c>
      <c r="B52" s="23"/>
      <c r="C52" s="24">
        <v>39562.5</v>
      </c>
      <c r="D52" s="40">
        <f t="shared" si="19"/>
        <v>52.75</v>
      </c>
    </row>
    <row r="53" spans="1:22" hidden="1" x14ac:dyDescent="0.25">
      <c r="A53" s="23" t="s">
        <v>7</v>
      </c>
      <c r="B53" s="23"/>
      <c r="C53" s="24">
        <v>48562.5</v>
      </c>
      <c r="D53" s="40">
        <f>C53/(75/1.2)/12</f>
        <v>64.75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U53"/>
      <c r="V53"/>
    </row>
    <row r="54" spans="1:22" ht="25.5" hidden="1" x14ac:dyDescent="0.25">
      <c r="A54" s="22" t="s">
        <v>27</v>
      </c>
      <c r="B54" s="22"/>
      <c r="C54" s="37">
        <v>5885110.0199999996</v>
      </c>
      <c r="D54" s="43">
        <f>SUM(D55:D60)</f>
        <v>280.24333428571424</v>
      </c>
    </row>
    <row r="55" spans="1:22" hidden="1" x14ac:dyDescent="0.25">
      <c r="A55" s="23" t="s">
        <v>2</v>
      </c>
      <c r="B55" s="23"/>
      <c r="C55" s="24">
        <v>1056000</v>
      </c>
      <c r="D55" s="42">
        <f>C55/(2100/1.2)/12</f>
        <v>50.285714285714285</v>
      </c>
    </row>
    <row r="56" spans="1:22" hidden="1" x14ac:dyDescent="0.25">
      <c r="A56" s="23" t="s">
        <v>3</v>
      </c>
      <c r="B56" s="23"/>
      <c r="C56" s="24">
        <v>363610.02</v>
      </c>
      <c r="D56" s="42">
        <f t="shared" ref="D56:D60" si="20">C56/(2100/1.2)/12</f>
        <v>17.314762857142856</v>
      </c>
    </row>
    <row r="57" spans="1:22" hidden="1" x14ac:dyDescent="0.25">
      <c r="A57" s="23" t="s">
        <v>4</v>
      </c>
      <c r="B57" s="23"/>
      <c r="C57" s="24">
        <v>3072000</v>
      </c>
      <c r="D57" s="42">
        <f t="shared" si="20"/>
        <v>146.28571428571428</v>
      </c>
    </row>
    <row r="58" spans="1:22" hidden="1" x14ac:dyDescent="0.25">
      <c r="A58" s="23" t="s">
        <v>5</v>
      </c>
      <c r="B58" s="23"/>
      <c r="C58" s="24">
        <v>489750</v>
      </c>
      <c r="D58" s="42">
        <f t="shared" si="20"/>
        <v>23.321428571428569</v>
      </c>
    </row>
    <row r="59" spans="1:22" hidden="1" x14ac:dyDescent="0.25">
      <c r="A59" s="23" t="s">
        <v>6</v>
      </c>
      <c r="B59" s="23"/>
      <c r="C59" s="24">
        <v>364500</v>
      </c>
      <c r="D59" s="42">
        <f t="shared" si="20"/>
        <v>17.357142857142858</v>
      </c>
    </row>
    <row r="60" spans="1:22" hidden="1" x14ac:dyDescent="0.25">
      <c r="A60" s="23" t="s">
        <v>7</v>
      </c>
      <c r="B60" s="23"/>
      <c r="C60" s="24">
        <v>539250</v>
      </c>
      <c r="D60" s="42">
        <f t="shared" si="20"/>
        <v>25.678571428571431</v>
      </c>
    </row>
    <row r="61" spans="1:22" ht="25.5" hidden="1" x14ac:dyDescent="0.25">
      <c r="A61" s="62" t="s">
        <v>22</v>
      </c>
      <c r="B61" s="62"/>
      <c r="C61" s="63">
        <v>6212363.9400000004</v>
      </c>
      <c r="D61" s="43">
        <f>SUM(D62:D67)</f>
        <v>295.82685428571426</v>
      </c>
    </row>
    <row r="62" spans="1:22" hidden="1" x14ac:dyDescent="0.25">
      <c r="A62" s="64" t="s">
        <v>2</v>
      </c>
      <c r="B62" s="64"/>
      <c r="C62" s="65">
        <v>1348500</v>
      </c>
      <c r="D62" s="42">
        <f>C62/(2100/1.2)/12</f>
        <v>64.214285714285708</v>
      </c>
    </row>
    <row r="63" spans="1:22" hidden="1" x14ac:dyDescent="0.25">
      <c r="A63" s="64" t="s">
        <v>3</v>
      </c>
      <c r="B63" s="64"/>
      <c r="C63" s="65">
        <v>1122863.94</v>
      </c>
      <c r="D63" s="42">
        <f t="shared" ref="D63:D67" si="21">C63/(2100/1.2)/12</f>
        <v>53.469711428571429</v>
      </c>
    </row>
    <row r="64" spans="1:22" hidden="1" x14ac:dyDescent="0.25">
      <c r="A64" s="64" t="s">
        <v>4</v>
      </c>
      <c r="B64" s="64"/>
      <c r="C64" s="65">
        <v>1435500</v>
      </c>
      <c r="D64" s="42">
        <f t="shared" si="21"/>
        <v>68.357142857142861</v>
      </c>
    </row>
    <row r="65" spans="1:20" hidden="1" x14ac:dyDescent="0.25">
      <c r="A65" s="64" t="s">
        <v>5</v>
      </c>
      <c r="B65" s="64"/>
      <c r="C65" s="65">
        <v>652500</v>
      </c>
      <c r="D65" s="42">
        <f t="shared" si="21"/>
        <v>31.071428571428569</v>
      </c>
    </row>
    <row r="66" spans="1:20" hidden="1" x14ac:dyDescent="0.25">
      <c r="A66" s="64" t="s">
        <v>6</v>
      </c>
      <c r="B66" s="64"/>
      <c r="C66" s="65">
        <v>783000</v>
      </c>
      <c r="D66" s="42">
        <f t="shared" si="21"/>
        <v>37.285714285714285</v>
      </c>
    </row>
    <row r="67" spans="1:20" hidden="1" x14ac:dyDescent="0.25">
      <c r="A67" s="64" t="s">
        <v>7</v>
      </c>
      <c r="B67" s="64"/>
      <c r="C67" s="65">
        <v>870000</v>
      </c>
      <c r="D67" s="42">
        <f t="shared" si="21"/>
        <v>41.428571428571431</v>
      </c>
    </row>
    <row r="68" spans="1:20" ht="25.5" hidden="1" x14ac:dyDescent="0.25">
      <c r="A68" s="22" t="s">
        <v>15</v>
      </c>
      <c r="B68" s="22"/>
      <c r="C68" s="37">
        <v>120000</v>
      </c>
      <c r="D68" s="44">
        <f>SUM(D69)</f>
        <v>2</v>
      </c>
    </row>
    <row r="69" spans="1:20" hidden="1" x14ac:dyDescent="0.25">
      <c r="A69" s="23" t="s">
        <v>4</v>
      </c>
      <c r="B69" s="23"/>
      <c r="C69" s="24">
        <v>120000</v>
      </c>
      <c r="D69" s="41">
        <f>C69/(6000/1.2)/12</f>
        <v>2</v>
      </c>
    </row>
    <row r="70" spans="1:20" ht="25.5" hidden="1" x14ac:dyDescent="0.25">
      <c r="A70" s="68" t="s">
        <v>32</v>
      </c>
      <c r="B70" s="68" t="s">
        <v>33</v>
      </c>
      <c r="C70" s="37">
        <v>25000</v>
      </c>
      <c r="D70" s="44">
        <f>SUM(D71:D72)</f>
        <v>1</v>
      </c>
    </row>
    <row r="71" spans="1:20" ht="25.5" hidden="1" x14ac:dyDescent="0.25">
      <c r="A71" s="22" t="s">
        <v>16</v>
      </c>
      <c r="B71" s="22"/>
      <c r="C71" s="24">
        <v>25000</v>
      </c>
      <c r="D71" s="41"/>
    </row>
    <row r="72" spans="1:20" hidden="1" x14ac:dyDescent="0.25">
      <c r="A72" s="23" t="s">
        <v>14</v>
      </c>
      <c r="B72" s="23"/>
      <c r="C72" s="24">
        <v>25000</v>
      </c>
      <c r="D72" s="41">
        <f>C72/(2500/1.2)/12</f>
        <v>1</v>
      </c>
    </row>
    <row r="73" spans="1:20" hidden="1" x14ac:dyDescent="0.25">
      <c r="A73" s="164" t="s">
        <v>35</v>
      </c>
      <c r="B73" s="164"/>
      <c r="C73" s="37">
        <v>12712999.23</v>
      </c>
      <c r="D73" s="41"/>
    </row>
    <row r="74" spans="1:20" x14ac:dyDescent="0.25">
      <c r="D74" s="41" t="s">
        <v>38</v>
      </c>
      <c r="K74" s="71"/>
      <c r="T74" s="1">
        <v>25000</v>
      </c>
    </row>
    <row r="75" spans="1:20" ht="22.5" x14ac:dyDescent="0.25">
      <c r="A75" s="67" t="s">
        <v>30</v>
      </c>
      <c r="B75" s="72" t="s">
        <v>31</v>
      </c>
      <c r="C75" s="74">
        <v>12687.999230000001</v>
      </c>
      <c r="K75" s="71"/>
    </row>
    <row r="76" spans="1:20" x14ac:dyDescent="0.25">
      <c r="A76" s="36" t="s">
        <v>2</v>
      </c>
      <c r="B76" s="73"/>
      <c r="C76" s="74">
        <v>2487.375</v>
      </c>
      <c r="D76" s="75">
        <f t="shared" ref="D76:D81" si="22">X5-C76</f>
        <v>-67.124999999999545</v>
      </c>
    </row>
    <row r="77" spans="1:20" x14ac:dyDescent="0.25">
      <c r="A77" s="36" t="s">
        <v>3</v>
      </c>
      <c r="B77" s="73"/>
      <c r="C77" s="74">
        <v>1537.9575600000001</v>
      </c>
      <c r="D77" s="75">
        <f t="shared" si="22"/>
        <v>-58.95755999999983</v>
      </c>
    </row>
    <row r="78" spans="1:20" x14ac:dyDescent="0.25">
      <c r="A78" s="36" t="s">
        <v>4</v>
      </c>
      <c r="B78" s="73"/>
      <c r="C78" s="74">
        <v>4782.75</v>
      </c>
      <c r="D78" s="75">
        <f t="shared" si="22"/>
        <v>-139.49999999999909</v>
      </c>
    </row>
    <row r="79" spans="1:20" x14ac:dyDescent="0.25">
      <c r="A79" s="36" t="s">
        <v>5</v>
      </c>
      <c r="B79" s="73"/>
      <c r="C79" s="74">
        <v>1235.0416699999998</v>
      </c>
      <c r="D79" s="75">
        <f t="shared" si="22"/>
        <v>-64.37499799999955</v>
      </c>
    </row>
    <row r="80" spans="1:20" x14ac:dyDescent="0.25">
      <c r="A80" s="36" t="s">
        <v>6</v>
      </c>
      <c r="B80" s="73"/>
      <c r="C80" s="74">
        <v>1187.0625</v>
      </c>
      <c r="D80" s="75">
        <f t="shared" si="22"/>
        <v>-34.312499999999773</v>
      </c>
      <c r="K80" s="71"/>
    </row>
    <row r="81" spans="1:4" x14ac:dyDescent="0.25">
      <c r="A81" s="36" t="s">
        <v>7</v>
      </c>
      <c r="B81" s="73"/>
      <c r="C81" s="74">
        <v>1457.8125</v>
      </c>
      <c r="D81" s="75">
        <f t="shared" si="22"/>
        <v>-53.812499999999545</v>
      </c>
    </row>
    <row r="82" spans="1:4" ht="22.5" x14ac:dyDescent="0.25">
      <c r="A82" s="67" t="s">
        <v>32</v>
      </c>
      <c r="B82" s="72" t="s">
        <v>33</v>
      </c>
      <c r="C82" s="74">
        <v>25</v>
      </c>
    </row>
    <row r="83" spans="1:4" ht="22.5" x14ac:dyDescent="0.25">
      <c r="A83" s="36" t="s">
        <v>34</v>
      </c>
      <c r="B83" s="73"/>
      <c r="C83" s="74">
        <v>25</v>
      </c>
      <c r="D83" s="75">
        <f>X11-C83</f>
        <v>0</v>
      </c>
    </row>
    <row r="84" spans="1:4" x14ac:dyDescent="0.25">
      <c r="A84" s="154" t="s">
        <v>35</v>
      </c>
      <c r="B84" s="165"/>
      <c r="C84" s="74">
        <v>12712.999230000001</v>
      </c>
      <c r="D84" s="75">
        <f>SUM(D76:D83)</f>
        <v>-418.08255799999733</v>
      </c>
    </row>
    <row r="85" spans="1:4" ht="31.5" customHeight="1" x14ac:dyDescent="0.25"/>
    <row r="86" spans="1:4" ht="31.5" customHeight="1" x14ac:dyDescent="0.25"/>
    <row r="87" spans="1:4" ht="78.75" customHeight="1" x14ac:dyDescent="0.25"/>
    <row r="88" spans="1:4" ht="78.75" customHeight="1" x14ac:dyDescent="0.25"/>
    <row r="90" spans="1:4" x14ac:dyDescent="0.25">
      <c r="A90" s="16">
        <f>109-1</f>
        <v>108</v>
      </c>
    </row>
    <row r="91" spans="1:4" x14ac:dyDescent="0.25">
      <c r="A91" s="16">
        <f>69-1</f>
        <v>68</v>
      </c>
    </row>
    <row r="92" spans="1:4" x14ac:dyDescent="0.25">
      <c r="A92" s="16">
        <f>166-2+1+27</f>
        <v>192</v>
      </c>
    </row>
    <row r="93" spans="1:4" x14ac:dyDescent="0.25">
      <c r="A93" s="16">
        <f>50+1</f>
        <v>51</v>
      </c>
    </row>
    <row r="94" spans="1:4" x14ac:dyDescent="0.25">
      <c r="A94" s="16">
        <f>53-1</f>
        <v>52</v>
      </c>
    </row>
    <row r="95" spans="1:4" x14ac:dyDescent="0.25">
      <c r="A95" s="16">
        <f>60+2</f>
        <v>62</v>
      </c>
    </row>
    <row r="96" spans="1:4" x14ac:dyDescent="0.25">
      <c r="A96" s="17"/>
    </row>
    <row r="97" spans="1:1" ht="15.75" x14ac:dyDescent="0.25">
      <c r="A97" s="13">
        <f t="shared" ref="A97" si="23">SUM(A90:A96)</f>
        <v>533</v>
      </c>
    </row>
  </sheetData>
  <mergeCells count="10">
    <mergeCell ref="R3:T3"/>
    <mergeCell ref="U3:W3"/>
    <mergeCell ref="D14:D15"/>
    <mergeCell ref="A73:B73"/>
    <mergeCell ref="A84:B84"/>
    <mergeCell ref="A3:A4"/>
    <mergeCell ref="B3:D3"/>
    <mergeCell ref="E3:J3"/>
    <mergeCell ref="K3:M3"/>
    <mergeCell ref="O3:Q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беллатор</vt:lpstr>
      <vt:lpstr>Южный список</vt:lpstr>
      <vt:lpstr>Лист2</vt:lpstr>
      <vt:lpstr>Лист3</vt:lpstr>
      <vt:lpstr>Приложение БДР</vt:lpstr>
      <vt:lpstr>расчет (2)</vt:lpstr>
      <vt:lpstr>'Южный список'!Область_печати</vt:lpstr>
    </vt:vector>
  </TitlesOfParts>
  <Company>ОАО "ЛОЭСК"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Сохина Татьяна Юрьевна</dc:creator>
  <cp:lastModifiedBy>Ахметшина Лилия Расимовна</cp:lastModifiedBy>
  <cp:lastPrinted>2020-03-27T10:59:54Z</cp:lastPrinted>
  <dcterms:created xsi:type="dcterms:W3CDTF">2017-12-06T06:55:49Z</dcterms:created>
  <dcterms:modified xsi:type="dcterms:W3CDTF">2020-03-27T11:06:26Z</dcterms:modified>
</cp:coreProperties>
</file>