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O:\Служба гл.инженера\Смирнов\На сайт свод данных по отключениям\"/>
    </mc:Choice>
  </mc:AlternateContent>
  <bookViews>
    <workbookView xWindow="0" yWindow="0" windowWidth="28800" windowHeight="11910" tabRatio="606" firstSheet="2" activeTab="5"/>
  </bookViews>
  <sheets>
    <sheet name="Для недоотпуска (мин)" sheetId="28" state="hidden" r:id="rId1"/>
    <sheet name="Для недоотпуска (час)" sheetId="25" state="hidden" r:id="rId2"/>
    <sheet name="Январь" sheetId="18" r:id="rId3"/>
    <sheet name="Февраль" sheetId="19" r:id="rId4"/>
    <sheet name="Март" sheetId="12" r:id="rId5"/>
    <sheet name="1 квартал (1;0)" sheetId="16" r:id="rId6"/>
    <sheet name="1 квартал (1)" sheetId="17" r:id="rId7"/>
  </sheets>
  <definedNames>
    <definedName name="_xlnm._FilterDatabase" localSheetId="4" hidden="1">Март!$A$2:$K$106</definedName>
    <definedName name="_xlnm._FilterDatabase" localSheetId="3" hidden="1">Февраль!$A$2:$K$133</definedName>
    <definedName name="_xlnm._FilterDatabase" localSheetId="2" hidden="1">Январь!$A$2:$K$149</definedName>
    <definedName name="_xlnm.Print_Area" localSheetId="6">'1 квартал (1)'!$A$1:$O$25</definedName>
    <definedName name="_xlnm.Print_Area" localSheetId="5">'1 квартал (1;0)'!$A$1:$O$25</definedName>
    <definedName name="_xlnm.Print_Area" localSheetId="4">Март!$A$1:$K$110</definedName>
    <definedName name="_xlnm.Print_Area" localSheetId="3">Февраль!$A$1:$K$137</definedName>
    <definedName name="_xlnm.Print_Area" localSheetId="2">Январь!$A$1:$K$153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8" l="1"/>
  <c r="L17" i="28"/>
  <c r="L18" i="28"/>
  <c r="L28" i="28"/>
  <c r="L29" i="28"/>
  <c r="L30" i="28"/>
  <c r="L40" i="28"/>
  <c r="L41" i="28"/>
  <c r="L42" i="28"/>
  <c r="L52" i="28"/>
  <c r="L53" i="28"/>
  <c r="L54" i="28"/>
  <c r="L65" i="28"/>
  <c r="M65" i="28" s="1"/>
  <c r="L66" i="28"/>
  <c r="L76" i="28"/>
  <c r="L77" i="28"/>
  <c r="L78" i="28"/>
  <c r="I16" i="28"/>
  <c r="I17" i="28"/>
  <c r="I18" i="28"/>
  <c r="I28" i="28"/>
  <c r="I29" i="28"/>
  <c r="I30" i="28"/>
  <c r="I40" i="28"/>
  <c r="I41" i="28"/>
  <c r="O41" i="28" s="1"/>
  <c r="I42" i="28"/>
  <c r="I52" i="28"/>
  <c r="I53" i="28"/>
  <c r="I54" i="28"/>
  <c r="I64" i="28"/>
  <c r="I65" i="28"/>
  <c r="I66" i="28"/>
  <c r="I76" i="28"/>
  <c r="I77" i="28"/>
  <c r="I78" i="28"/>
  <c r="F78" i="28"/>
  <c r="F16" i="28"/>
  <c r="F93" i="28" s="1"/>
  <c r="F17" i="28"/>
  <c r="F18" i="28"/>
  <c r="F28" i="28"/>
  <c r="F29" i="28"/>
  <c r="F30" i="28"/>
  <c r="F40" i="28"/>
  <c r="F41" i="28"/>
  <c r="F42" i="28"/>
  <c r="F52" i="28"/>
  <c r="F53" i="28"/>
  <c r="F54" i="28"/>
  <c r="F64" i="28"/>
  <c r="G64" i="28" s="1"/>
  <c r="F65" i="28"/>
  <c r="F66" i="28"/>
  <c r="F76" i="28"/>
  <c r="F77" i="28"/>
  <c r="L94" i="28"/>
  <c r="K94" i="28"/>
  <c r="E94" i="28"/>
  <c r="I93" i="28"/>
  <c r="H93" i="28"/>
  <c r="E93" i="28"/>
  <c r="K75" i="28"/>
  <c r="H75" i="28"/>
  <c r="E75" i="28"/>
  <c r="K74" i="28"/>
  <c r="H74" i="28"/>
  <c r="E74" i="28"/>
  <c r="K73" i="28"/>
  <c r="K72" i="28" s="1"/>
  <c r="H73" i="28"/>
  <c r="E73" i="28"/>
  <c r="E72" i="28" s="1"/>
  <c r="K71" i="28"/>
  <c r="H71" i="28"/>
  <c r="E71" i="28"/>
  <c r="K70" i="28"/>
  <c r="H70" i="28"/>
  <c r="E70" i="28"/>
  <c r="K69" i="28"/>
  <c r="H69" i="28"/>
  <c r="E69" i="28"/>
  <c r="E68" i="28" s="1"/>
  <c r="E67" i="28" s="1"/>
  <c r="N65" i="28"/>
  <c r="K64" i="28"/>
  <c r="N64" i="28" s="1"/>
  <c r="J64" i="28"/>
  <c r="K63" i="28"/>
  <c r="H63" i="28"/>
  <c r="E63" i="28"/>
  <c r="K62" i="28"/>
  <c r="H62" i="28"/>
  <c r="E62" i="28"/>
  <c r="K61" i="28"/>
  <c r="H61" i="28"/>
  <c r="E61" i="28"/>
  <c r="E60" i="28"/>
  <c r="K59" i="28"/>
  <c r="H59" i="28"/>
  <c r="E59" i="28"/>
  <c r="K58" i="28"/>
  <c r="H58" i="28"/>
  <c r="E58" i="28"/>
  <c r="K57" i="28"/>
  <c r="H57" i="28"/>
  <c r="E57" i="28"/>
  <c r="O52" i="28"/>
  <c r="N52" i="28"/>
  <c r="G52" i="28"/>
  <c r="K51" i="28"/>
  <c r="H51" i="28"/>
  <c r="E51" i="28"/>
  <c r="K50" i="28"/>
  <c r="H50" i="28"/>
  <c r="E50" i="28"/>
  <c r="K49" i="28"/>
  <c r="H49" i="28"/>
  <c r="E49" i="28"/>
  <c r="K47" i="28"/>
  <c r="H47" i="28"/>
  <c r="E47" i="28"/>
  <c r="K46" i="28"/>
  <c r="H46" i="28"/>
  <c r="E46" i="28"/>
  <c r="K45" i="28"/>
  <c r="K44" i="28" s="1"/>
  <c r="H45" i="28"/>
  <c r="E45" i="28"/>
  <c r="E44" i="28" s="1"/>
  <c r="N41" i="28"/>
  <c r="K39" i="28"/>
  <c r="H39" i="28"/>
  <c r="E39" i="28"/>
  <c r="K38" i="28"/>
  <c r="H38" i="28"/>
  <c r="E38" i="28"/>
  <c r="K37" i="28"/>
  <c r="H37" i="28"/>
  <c r="E37" i="28"/>
  <c r="K35" i="28"/>
  <c r="H35" i="28"/>
  <c r="E35" i="28"/>
  <c r="K34" i="28"/>
  <c r="H34" i="28"/>
  <c r="E34" i="28"/>
  <c r="K33" i="28"/>
  <c r="H33" i="28"/>
  <c r="E33" i="28"/>
  <c r="K27" i="28"/>
  <c r="H27" i="28"/>
  <c r="E27" i="28"/>
  <c r="K26" i="28"/>
  <c r="H26" i="28"/>
  <c r="E26" i="28"/>
  <c r="K25" i="28"/>
  <c r="H25" i="28"/>
  <c r="E25" i="28"/>
  <c r="E24" i="28"/>
  <c r="K23" i="28"/>
  <c r="H23" i="28"/>
  <c r="E23" i="28"/>
  <c r="K22" i="28"/>
  <c r="H22" i="28"/>
  <c r="E22" i="28"/>
  <c r="E20" i="28" s="1"/>
  <c r="E19" i="28" s="1"/>
  <c r="K21" i="28"/>
  <c r="H21" i="28"/>
  <c r="E21" i="28"/>
  <c r="K15" i="28"/>
  <c r="H15" i="28"/>
  <c r="E15" i="28"/>
  <c r="E92" i="28" s="1"/>
  <c r="K14" i="28"/>
  <c r="H14" i="28"/>
  <c r="E14" i="28"/>
  <c r="E91" i="28" s="1"/>
  <c r="K13" i="28"/>
  <c r="H13" i="28"/>
  <c r="E13" i="28"/>
  <c r="K11" i="28"/>
  <c r="H11" i="28"/>
  <c r="E11" i="28"/>
  <c r="E88" i="28" s="1"/>
  <c r="K10" i="28"/>
  <c r="H10" i="28"/>
  <c r="H87" i="28" s="1"/>
  <c r="E10" i="28"/>
  <c r="K9" i="28"/>
  <c r="H9" i="28"/>
  <c r="E9" i="28"/>
  <c r="P94" i="25"/>
  <c r="O94" i="25"/>
  <c r="M94" i="25"/>
  <c r="L94" i="25"/>
  <c r="K94" i="25"/>
  <c r="P65" i="25"/>
  <c r="O65" i="25"/>
  <c r="N65" i="25"/>
  <c r="P52" i="25"/>
  <c r="O52" i="25"/>
  <c r="N52" i="25"/>
  <c r="M65" i="25"/>
  <c r="G93" i="25"/>
  <c r="F93" i="25"/>
  <c r="G64" i="25"/>
  <c r="G52" i="25"/>
  <c r="E90" i="28" l="1"/>
  <c r="E89" i="28" s="1"/>
  <c r="E87" i="28"/>
  <c r="E86" i="28"/>
  <c r="H91" i="28"/>
  <c r="N33" i="28"/>
  <c r="K20" i="28"/>
  <c r="K32" i="28"/>
  <c r="K24" i="28"/>
  <c r="K60" i="28"/>
  <c r="K90" i="28"/>
  <c r="K48" i="28"/>
  <c r="K43" i="28" s="1"/>
  <c r="N59" i="28"/>
  <c r="K88" i="28"/>
  <c r="K87" i="28"/>
  <c r="K12" i="28"/>
  <c r="K91" i="28"/>
  <c r="N21" i="28"/>
  <c r="K36" i="28"/>
  <c r="N58" i="28"/>
  <c r="N25" i="28"/>
  <c r="K92" i="28"/>
  <c r="K86" i="28"/>
  <c r="K85" i="28" s="1"/>
  <c r="N57" i="28"/>
  <c r="N61" i="28"/>
  <c r="N62" i="28"/>
  <c r="K68" i="28"/>
  <c r="K67" i="28" s="1"/>
  <c r="N51" i="28"/>
  <c r="N75" i="28"/>
  <c r="H24" i="28"/>
  <c r="H72" i="28"/>
  <c r="H86" i="28"/>
  <c r="H20" i="28"/>
  <c r="N35" i="28"/>
  <c r="N37" i="28"/>
  <c r="H44" i="28"/>
  <c r="N49" i="28"/>
  <c r="H48" i="28"/>
  <c r="N63" i="28"/>
  <c r="H68" i="28"/>
  <c r="H67" i="28" s="1"/>
  <c r="N73" i="28"/>
  <c r="H92" i="28"/>
  <c r="H32" i="28"/>
  <c r="N74" i="28"/>
  <c r="H88" i="28"/>
  <c r="N45" i="28"/>
  <c r="H60" i="28"/>
  <c r="H90" i="28"/>
  <c r="H89" i="28" s="1"/>
  <c r="H84" i="28" s="1"/>
  <c r="N22" i="28"/>
  <c r="N23" i="28"/>
  <c r="N27" i="28"/>
  <c r="N34" i="28"/>
  <c r="H36" i="28"/>
  <c r="H56" i="28"/>
  <c r="H55" i="28" s="1"/>
  <c r="N70" i="28"/>
  <c r="N71" i="28"/>
  <c r="H85" i="28"/>
  <c r="J93" i="28"/>
  <c r="N94" i="28"/>
  <c r="G93" i="28"/>
  <c r="M94" i="28"/>
  <c r="O65" i="28"/>
  <c r="P65" i="28" s="1"/>
  <c r="O94" i="28"/>
  <c r="P94" i="28" s="1"/>
  <c r="H12" i="28"/>
  <c r="N15" i="28"/>
  <c r="N26" i="28"/>
  <c r="E8" i="28"/>
  <c r="N9" i="28"/>
  <c r="N13" i="28"/>
  <c r="N14" i="28"/>
  <c r="N50" i="28"/>
  <c r="P52" i="28"/>
  <c r="N93" i="28"/>
  <c r="E12" i="28"/>
  <c r="K8" i="28"/>
  <c r="K7" i="28" s="1"/>
  <c r="H8" i="28"/>
  <c r="H7" i="28" s="1"/>
  <c r="E85" i="28"/>
  <c r="N10" i="28"/>
  <c r="N11" i="28"/>
  <c r="N38" i="28"/>
  <c r="N46" i="28"/>
  <c r="N47" i="28"/>
  <c r="E48" i="28"/>
  <c r="K56" i="28"/>
  <c r="K55" i="28" s="1"/>
  <c r="E32" i="28"/>
  <c r="E36" i="28"/>
  <c r="N39" i="28"/>
  <c r="E56" i="28"/>
  <c r="E55" i="28" s="1"/>
  <c r="K93" i="28"/>
  <c r="N69" i="28"/>
  <c r="E84" i="28" l="1"/>
  <c r="K19" i="28"/>
  <c r="K31" i="28"/>
  <c r="N72" i="28"/>
  <c r="N56" i="28"/>
  <c r="N68" i="28"/>
  <c r="N48" i="28"/>
  <c r="N60" i="28"/>
  <c r="N24" i="28"/>
  <c r="K89" i="28"/>
  <c r="K84" i="28" s="1"/>
  <c r="N20" i="28"/>
  <c r="H19" i="28"/>
  <c r="N32" i="28"/>
  <c r="H31" i="28"/>
  <c r="H43" i="28"/>
  <c r="N36" i="28"/>
  <c r="E7" i="28"/>
  <c r="N44" i="28"/>
  <c r="N92" i="28"/>
  <c r="E31" i="28"/>
  <c r="N88" i="28"/>
  <c r="N90" i="28"/>
  <c r="N12" i="28"/>
  <c r="N87" i="28"/>
  <c r="N91" i="28"/>
  <c r="N86" i="28"/>
  <c r="N8" i="28"/>
  <c r="E43" i="28"/>
  <c r="J93" i="25"/>
  <c r="I93" i="25"/>
  <c r="H93" i="25"/>
  <c r="E94" i="25"/>
  <c r="E93" i="25"/>
  <c r="O41" i="25"/>
  <c r="N41" i="25"/>
  <c r="N94" i="25" s="1"/>
  <c r="J64" i="25"/>
  <c r="N67" i="28" l="1"/>
  <c r="N55" i="28"/>
  <c r="N19" i="28"/>
  <c r="N43" i="28"/>
  <c r="N31" i="28"/>
  <c r="N89" i="28"/>
  <c r="N7" i="28"/>
  <c r="N85" i="28"/>
  <c r="N84" i="28" l="1"/>
  <c r="H27" i="25" l="1"/>
  <c r="I27" i="25"/>
  <c r="I27" i="28" s="1"/>
  <c r="F39" i="25"/>
  <c r="F39" i="28" s="1"/>
  <c r="G39" i="28" s="1"/>
  <c r="L64" i="25" l="1"/>
  <c r="L64" i="28" s="1"/>
  <c r="L63" i="25"/>
  <c r="L63" i="28" s="1"/>
  <c r="M63" i="28" s="1"/>
  <c r="K64" i="25"/>
  <c r="N64" i="25" s="1"/>
  <c r="N93" i="25" s="1"/>
  <c r="K63" i="25"/>
  <c r="O64" i="28" l="1"/>
  <c r="L93" i="28"/>
  <c r="O64" i="25"/>
  <c r="P64" i="25" s="1"/>
  <c r="K93" i="25"/>
  <c r="L93" i="25"/>
  <c r="O93" i="28" l="1"/>
  <c r="P93" i="28" s="1"/>
  <c r="P64" i="28"/>
  <c r="O93" i="25"/>
  <c r="P93" i="25" s="1"/>
  <c r="H63" i="25"/>
  <c r="I63" i="25"/>
  <c r="I63" i="28" s="1"/>
  <c r="F63" i="25"/>
  <c r="F63" i="28" s="1"/>
  <c r="G63" i="28" s="1"/>
  <c r="O63" i="28" l="1"/>
  <c r="P63" i="28" s="1"/>
  <c r="O63" i="25"/>
  <c r="G17" i="16" l="1"/>
  <c r="K6" i="17" l="1"/>
  <c r="J7" i="17"/>
  <c r="J6" i="17"/>
  <c r="J5" i="17"/>
  <c r="L27" i="25" l="1"/>
  <c r="L27" i="28" s="1"/>
  <c r="K27" i="25"/>
  <c r="L26" i="25"/>
  <c r="L26" i="28" s="1"/>
  <c r="M26" i="28" s="1"/>
  <c r="K26" i="25"/>
  <c r="L25" i="25"/>
  <c r="L25" i="28" s="1"/>
  <c r="M25" i="28" s="1"/>
  <c r="K25" i="25"/>
  <c r="L23" i="25"/>
  <c r="L23" i="28" s="1"/>
  <c r="K23" i="25"/>
  <c r="L22" i="25"/>
  <c r="L22" i="28" s="1"/>
  <c r="K22" i="25"/>
  <c r="L21" i="25"/>
  <c r="L21" i="28" s="1"/>
  <c r="K21" i="25"/>
  <c r="L75" i="25"/>
  <c r="L75" i="28" s="1"/>
  <c r="M75" i="28" s="1"/>
  <c r="K75" i="25"/>
  <c r="L74" i="25"/>
  <c r="L74" i="28" s="1"/>
  <c r="M74" i="28" s="1"/>
  <c r="K74" i="25"/>
  <c r="L73" i="25"/>
  <c r="L73" i="28" s="1"/>
  <c r="M73" i="28" s="1"/>
  <c r="K73" i="25"/>
  <c r="L71" i="25"/>
  <c r="L71" i="28" s="1"/>
  <c r="K71" i="25"/>
  <c r="L70" i="25"/>
  <c r="L70" i="28" s="1"/>
  <c r="K70" i="25"/>
  <c r="L69" i="25"/>
  <c r="L69" i="28" s="1"/>
  <c r="K69" i="25"/>
  <c r="L62" i="25"/>
  <c r="L62" i="28" s="1"/>
  <c r="M62" i="28" s="1"/>
  <c r="K62" i="25"/>
  <c r="L61" i="25"/>
  <c r="L61" i="28" s="1"/>
  <c r="M61" i="28" s="1"/>
  <c r="K61" i="25"/>
  <c r="L59" i="25"/>
  <c r="L59" i="28" s="1"/>
  <c r="M59" i="28" s="1"/>
  <c r="K59" i="25"/>
  <c r="L58" i="25"/>
  <c r="K58" i="25"/>
  <c r="L57" i="25"/>
  <c r="L57" i="28" s="1"/>
  <c r="M57" i="28" s="1"/>
  <c r="K57" i="25"/>
  <c r="L51" i="25"/>
  <c r="K51" i="25"/>
  <c r="L50" i="25"/>
  <c r="L50" i="28" s="1"/>
  <c r="M50" i="28" s="1"/>
  <c r="K50" i="25"/>
  <c r="L49" i="25"/>
  <c r="L49" i="28" s="1"/>
  <c r="M49" i="28" s="1"/>
  <c r="K49" i="25"/>
  <c r="L47" i="25"/>
  <c r="L47" i="28" s="1"/>
  <c r="K47" i="25"/>
  <c r="L46" i="25"/>
  <c r="L46" i="28" s="1"/>
  <c r="K46" i="25"/>
  <c r="L45" i="25"/>
  <c r="L45" i="28" s="1"/>
  <c r="K45" i="25"/>
  <c r="L39" i="25"/>
  <c r="L39" i="28" s="1"/>
  <c r="M39" i="28" s="1"/>
  <c r="K39" i="25"/>
  <c r="L38" i="25"/>
  <c r="L38" i="28" s="1"/>
  <c r="M38" i="28" s="1"/>
  <c r="K38" i="25"/>
  <c r="L37" i="25"/>
  <c r="L37" i="28" s="1"/>
  <c r="M37" i="28" s="1"/>
  <c r="K37" i="25"/>
  <c r="L35" i="25"/>
  <c r="L35" i="28" s="1"/>
  <c r="M35" i="28" s="1"/>
  <c r="K35" i="25"/>
  <c r="L34" i="25"/>
  <c r="L34" i="28" s="1"/>
  <c r="M34" i="28" s="1"/>
  <c r="K34" i="25"/>
  <c r="L33" i="25"/>
  <c r="L33" i="28" s="1"/>
  <c r="K33" i="25"/>
  <c r="K15" i="25"/>
  <c r="K14" i="25"/>
  <c r="K13" i="25"/>
  <c r="L11" i="25"/>
  <c r="L11" i="28" s="1"/>
  <c r="K11" i="25"/>
  <c r="L10" i="25"/>
  <c r="L10" i="28" s="1"/>
  <c r="K10" i="25"/>
  <c r="L9" i="25"/>
  <c r="L9" i="28" s="1"/>
  <c r="K9" i="25"/>
  <c r="I75" i="25"/>
  <c r="H75" i="25"/>
  <c r="I74" i="25"/>
  <c r="I74" i="28" s="1"/>
  <c r="H74" i="25"/>
  <c r="I73" i="25"/>
  <c r="I73" i="28" s="1"/>
  <c r="H73" i="25"/>
  <c r="I71" i="25"/>
  <c r="I71" i="28" s="1"/>
  <c r="H71" i="25"/>
  <c r="I70" i="25"/>
  <c r="I70" i="28" s="1"/>
  <c r="H70" i="25"/>
  <c r="I69" i="25"/>
  <c r="H69" i="25"/>
  <c r="I62" i="25"/>
  <c r="I62" i="28" s="1"/>
  <c r="H62" i="25"/>
  <c r="I61" i="25"/>
  <c r="I61" i="28" s="1"/>
  <c r="H61" i="25"/>
  <c r="I59" i="25"/>
  <c r="I59" i="28" s="1"/>
  <c r="H59" i="25"/>
  <c r="I58" i="25"/>
  <c r="I58" i="28" s="1"/>
  <c r="H58" i="25"/>
  <c r="I57" i="25"/>
  <c r="I57" i="28" s="1"/>
  <c r="H57" i="25"/>
  <c r="I51" i="25"/>
  <c r="H51" i="25"/>
  <c r="H50" i="25"/>
  <c r="I49" i="25"/>
  <c r="I49" i="28" s="1"/>
  <c r="H49" i="25"/>
  <c r="I47" i="25"/>
  <c r="H47" i="25"/>
  <c r="H46" i="25"/>
  <c r="H45" i="25"/>
  <c r="I39" i="25"/>
  <c r="H39" i="25"/>
  <c r="I38" i="25"/>
  <c r="I38" i="28" s="1"/>
  <c r="H38" i="25"/>
  <c r="I37" i="25"/>
  <c r="I37" i="28" s="1"/>
  <c r="H37" i="25"/>
  <c r="I35" i="25"/>
  <c r="I35" i="28" s="1"/>
  <c r="H35" i="25"/>
  <c r="I34" i="25"/>
  <c r="H34" i="25"/>
  <c r="I33" i="25"/>
  <c r="I33" i="28" s="1"/>
  <c r="H33" i="25"/>
  <c r="H26" i="25"/>
  <c r="I25" i="25"/>
  <c r="I25" i="28" s="1"/>
  <c r="H25" i="25"/>
  <c r="I23" i="25"/>
  <c r="I23" i="28" s="1"/>
  <c r="H23" i="25"/>
  <c r="I22" i="25"/>
  <c r="I22" i="28" s="1"/>
  <c r="H22" i="25"/>
  <c r="I21" i="25"/>
  <c r="I21" i="28" s="1"/>
  <c r="H21" i="25"/>
  <c r="I15" i="25"/>
  <c r="H15" i="25"/>
  <c r="H14" i="25"/>
  <c r="H13" i="25"/>
  <c r="I11" i="25"/>
  <c r="I11" i="28" s="1"/>
  <c r="H11" i="25"/>
  <c r="I10" i="25"/>
  <c r="I10" i="28" s="1"/>
  <c r="H10" i="25"/>
  <c r="I9" i="25"/>
  <c r="H9" i="25"/>
  <c r="F15" i="25"/>
  <c r="F15" i="28" s="1"/>
  <c r="G15" i="28" l="1"/>
  <c r="L86" i="28"/>
  <c r="M86" i="28" s="1"/>
  <c r="L88" i="28"/>
  <c r="M51" i="25"/>
  <c r="L51" i="28"/>
  <c r="M51" i="28" s="1"/>
  <c r="L58" i="28"/>
  <c r="M58" i="28" s="1"/>
  <c r="M58" i="25"/>
  <c r="J15" i="25"/>
  <c r="I15" i="28"/>
  <c r="J25" i="28"/>
  <c r="J57" i="28"/>
  <c r="J62" i="28"/>
  <c r="J73" i="28"/>
  <c r="J75" i="25"/>
  <c r="I75" i="28"/>
  <c r="J9" i="25"/>
  <c r="I9" i="28"/>
  <c r="I34" i="28"/>
  <c r="J34" i="25"/>
  <c r="J37" i="28"/>
  <c r="J39" i="25"/>
  <c r="I39" i="28"/>
  <c r="J47" i="25"/>
  <c r="I47" i="28"/>
  <c r="I88" i="28"/>
  <c r="J88" i="28" s="1"/>
  <c r="I51" i="28"/>
  <c r="J51" i="25"/>
  <c r="J58" i="28"/>
  <c r="J61" i="28"/>
  <c r="I69" i="28"/>
  <c r="J69" i="25"/>
  <c r="J74" i="28"/>
  <c r="J35" i="28"/>
  <c r="J38" i="28"/>
  <c r="J49" i="28"/>
  <c r="M35" i="25"/>
  <c r="M34" i="25"/>
  <c r="M49" i="25"/>
  <c r="M26" i="25"/>
  <c r="M59" i="25"/>
  <c r="J35" i="25"/>
  <c r="H92" i="25"/>
  <c r="J57" i="25"/>
  <c r="J58" i="25"/>
  <c r="J49" i="25"/>
  <c r="M57" i="25"/>
  <c r="L32" i="25"/>
  <c r="L32" i="28" s="1"/>
  <c r="M32" i="28" s="1"/>
  <c r="L44" i="25"/>
  <c r="L44" i="28" s="1"/>
  <c r="K72" i="25"/>
  <c r="K24" i="25"/>
  <c r="L72" i="25"/>
  <c r="L72" i="28" s="1"/>
  <c r="M72" i="28" s="1"/>
  <c r="L60" i="25"/>
  <c r="L60" i="28" s="1"/>
  <c r="M60" i="28" s="1"/>
  <c r="K32" i="25"/>
  <c r="M50" i="25"/>
  <c r="K48" i="25"/>
  <c r="K56" i="25"/>
  <c r="K60" i="25"/>
  <c r="M75" i="25"/>
  <c r="M25" i="25"/>
  <c r="L24" i="25"/>
  <c r="L24" i="28" s="1"/>
  <c r="M24" i="28" s="1"/>
  <c r="L48" i="25"/>
  <c r="L48" i="28" s="1"/>
  <c r="M48" i="28" s="1"/>
  <c r="L56" i="25"/>
  <c r="L56" i="28" s="1"/>
  <c r="M56" i="28" s="1"/>
  <c r="K44" i="25"/>
  <c r="K12" i="25"/>
  <c r="L87" i="28" l="1"/>
  <c r="J69" i="28"/>
  <c r="J51" i="28"/>
  <c r="J39" i="28"/>
  <c r="O39" i="28"/>
  <c r="P39" i="28" s="1"/>
  <c r="J75" i="28"/>
  <c r="J34" i="28"/>
  <c r="J47" i="28"/>
  <c r="J9" i="28"/>
  <c r="I92" i="28"/>
  <c r="J92" i="28" s="1"/>
  <c r="J15" i="28"/>
  <c r="M32" i="25"/>
  <c r="M56" i="25"/>
  <c r="K55" i="25"/>
  <c r="L55" i="25"/>
  <c r="L55" i="28" s="1"/>
  <c r="M55" i="28" s="1"/>
  <c r="M87" i="28" l="1"/>
  <c r="L85" i="28"/>
  <c r="M55" i="25"/>
  <c r="M85" i="28" l="1"/>
  <c r="K6" i="16"/>
  <c r="J7" i="16"/>
  <c r="J6" i="16"/>
  <c r="L14" i="25"/>
  <c r="L14" i="28" s="1"/>
  <c r="L15" i="25"/>
  <c r="L15" i="28" s="1"/>
  <c r="L92" i="28" l="1"/>
  <c r="M92" i="28" s="1"/>
  <c r="O15" i="28"/>
  <c r="L91" i="28"/>
  <c r="M91" i="28" s="1"/>
  <c r="M14" i="28"/>
  <c r="L13" i="25"/>
  <c r="L13" i="28" s="1"/>
  <c r="K5" i="16"/>
  <c r="K7" i="17"/>
  <c r="K5" i="17"/>
  <c r="J5" i="16"/>
  <c r="K7" i="16"/>
  <c r="I46" i="25"/>
  <c r="L90" i="28" l="1"/>
  <c r="M13" i="28"/>
  <c r="P15" i="28"/>
  <c r="J46" i="25"/>
  <c r="I46" i="28"/>
  <c r="I45" i="25"/>
  <c r="I45" i="28" s="1"/>
  <c r="L12" i="25"/>
  <c r="L12" i="28" s="1"/>
  <c r="M12" i="28" s="1"/>
  <c r="I50" i="25"/>
  <c r="I50" i="28" s="1"/>
  <c r="M90" i="28" l="1"/>
  <c r="L89" i="28"/>
  <c r="J50" i="28"/>
  <c r="J45" i="28"/>
  <c r="I86" i="28"/>
  <c r="J46" i="28"/>
  <c r="I87" i="28"/>
  <c r="J87" i="28" s="1"/>
  <c r="I26" i="25"/>
  <c r="I26" i="28" s="1"/>
  <c r="M89" i="28" l="1"/>
  <c r="L84" i="28"/>
  <c r="M84" i="28" s="1"/>
  <c r="J26" i="28"/>
  <c r="J86" i="28"/>
  <c r="I85" i="28"/>
  <c r="I13" i="25"/>
  <c r="I13" i="28" s="1"/>
  <c r="I14" i="25"/>
  <c r="I14" i="28" s="1"/>
  <c r="I90" i="28" l="1"/>
  <c r="J13" i="28"/>
  <c r="J85" i="28"/>
  <c r="I91" i="28"/>
  <c r="J91" i="28" s="1"/>
  <c r="J14" i="28"/>
  <c r="F27" i="25"/>
  <c r="F27" i="28" s="1"/>
  <c r="O27" i="28" l="1"/>
  <c r="I89" i="28"/>
  <c r="J90" i="28"/>
  <c r="E75" i="25"/>
  <c r="E63" i="25"/>
  <c r="G63" i="25" s="1"/>
  <c r="E51" i="25"/>
  <c r="E39" i="25"/>
  <c r="N39" i="25" s="1"/>
  <c r="E27" i="25"/>
  <c r="E15" i="25"/>
  <c r="J89" i="28" l="1"/>
  <c r="I84" i="28"/>
  <c r="J84" i="28" s="1"/>
  <c r="E92" i="25"/>
  <c r="G15" i="25"/>
  <c r="N63" i="25"/>
  <c r="K87" i="25"/>
  <c r="K90" i="25"/>
  <c r="L87" i="25"/>
  <c r="K91" i="25"/>
  <c r="K86" i="25"/>
  <c r="L88" i="25"/>
  <c r="M38" i="25"/>
  <c r="M62" i="25"/>
  <c r="K36" i="25"/>
  <c r="K68" i="25"/>
  <c r="K88" i="25"/>
  <c r="K92" i="25"/>
  <c r="M13" i="25"/>
  <c r="K8" i="25"/>
  <c r="K20" i="25"/>
  <c r="L68" i="25"/>
  <c r="L68" i="28" s="1"/>
  <c r="L8" i="25"/>
  <c r="L8" i="28" s="1"/>
  <c r="M39" i="25"/>
  <c r="M63" i="25"/>
  <c r="M73" i="25"/>
  <c r="M74" i="25"/>
  <c r="L86" i="25"/>
  <c r="L90" i="25"/>
  <c r="L36" i="25"/>
  <c r="L36" i="28" s="1"/>
  <c r="M36" i="28" s="1"/>
  <c r="M37" i="25"/>
  <c r="M61" i="25"/>
  <c r="L92" i="25"/>
  <c r="L20" i="25"/>
  <c r="L20" i="28" s="1"/>
  <c r="M14" i="25"/>
  <c r="L91" i="25"/>
  <c r="H88" i="25"/>
  <c r="H91" i="25"/>
  <c r="H24" i="25"/>
  <c r="H36" i="25"/>
  <c r="I90" i="25"/>
  <c r="I48" i="25"/>
  <c r="I48" i="28" s="1"/>
  <c r="J48" i="28" s="1"/>
  <c r="I86" i="25"/>
  <c r="I24" i="25"/>
  <c r="I24" i="28" s="1"/>
  <c r="J24" i="28" s="1"/>
  <c r="H20" i="25"/>
  <c r="H32" i="25"/>
  <c r="H56" i="25"/>
  <c r="H12" i="25"/>
  <c r="H60" i="25"/>
  <c r="H68" i="25"/>
  <c r="H86" i="25"/>
  <c r="H90" i="25"/>
  <c r="H8" i="25"/>
  <c r="H87" i="25"/>
  <c r="H48" i="25"/>
  <c r="H72" i="25"/>
  <c r="H44" i="25"/>
  <c r="I32" i="25"/>
  <c r="I32" i="28" s="1"/>
  <c r="J32" i="28" s="1"/>
  <c r="I44" i="25"/>
  <c r="I44" i="28" s="1"/>
  <c r="J44" i="28" s="1"/>
  <c r="I56" i="25"/>
  <c r="I56" i="28" s="1"/>
  <c r="J56" i="28" s="1"/>
  <c r="I8" i="25"/>
  <c r="I8" i="28" s="1"/>
  <c r="J8" i="28" s="1"/>
  <c r="I12" i="25"/>
  <c r="I12" i="28" s="1"/>
  <c r="J12" i="28" s="1"/>
  <c r="I36" i="25"/>
  <c r="I36" i="28" s="1"/>
  <c r="J36" i="28" s="1"/>
  <c r="I60" i="25"/>
  <c r="I60" i="28" s="1"/>
  <c r="J60" i="28" s="1"/>
  <c r="I72" i="25"/>
  <c r="I72" i="28" s="1"/>
  <c r="J72" i="28" s="1"/>
  <c r="I20" i="25"/>
  <c r="I20" i="28" s="1"/>
  <c r="J13" i="25"/>
  <c r="J25" i="25"/>
  <c r="J38" i="25"/>
  <c r="J62" i="25"/>
  <c r="J73" i="25"/>
  <c r="I88" i="25"/>
  <c r="I92" i="25"/>
  <c r="J14" i="25"/>
  <c r="J26" i="25"/>
  <c r="J37" i="25"/>
  <c r="J45" i="25"/>
  <c r="J50" i="25"/>
  <c r="J61" i="25"/>
  <c r="J74" i="25"/>
  <c r="I87" i="25"/>
  <c r="I91" i="25"/>
  <c r="I68" i="25"/>
  <c r="F75" i="25"/>
  <c r="F75" i="28" s="1"/>
  <c r="O75" i="28" s="1"/>
  <c r="P75" i="28" s="1"/>
  <c r="F74" i="25"/>
  <c r="F74" i="28" s="1"/>
  <c r="E74" i="25"/>
  <c r="F73" i="25"/>
  <c r="F73" i="28" s="1"/>
  <c r="E73" i="25"/>
  <c r="F71" i="25"/>
  <c r="F71" i="28" s="1"/>
  <c r="O71" i="28" s="1"/>
  <c r="E71" i="25"/>
  <c r="F70" i="25"/>
  <c r="F70" i="28" s="1"/>
  <c r="O70" i="28" s="1"/>
  <c r="E70" i="25"/>
  <c r="F69" i="25"/>
  <c r="F69" i="28" s="1"/>
  <c r="O69" i="28" s="1"/>
  <c r="E69" i="25"/>
  <c r="F62" i="25"/>
  <c r="F62" i="28" s="1"/>
  <c r="E62" i="25"/>
  <c r="F61" i="25"/>
  <c r="F61" i="28" s="1"/>
  <c r="E61" i="25"/>
  <c r="F59" i="25"/>
  <c r="F59" i="28" s="1"/>
  <c r="E59" i="25"/>
  <c r="F58" i="25"/>
  <c r="F58" i="28" s="1"/>
  <c r="O58" i="28" s="1"/>
  <c r="P58" i="28" s="1"/>
  <c r="E58" i="25"/>
  <c r="F57" i="25"/>
  <c r="F57" i="28" s="1"/>
  <c r="E57" i="25"/>
  <c r="F51" i="25"/>
  <c r="F51" i="28" s="1"/>
  <c r="F50" i="25"/>
  <c r="F50" i="28" s="1"/>
  <c r="E50" i="25"/>
  <c r="F49" i="25"/>
  <c r="F49" i="28" s="1"/>
  <c r="E49" i="25"/>
  <c r="F47" i="25"/>
  <c r="F47" i="28" s="1"/>
  <c r="O47" i="28" s="1"/>
  <c r="P47" i="28" s="1"/>
  <c r="E47" i="25"/>
  <c r="F46" i="25"/>
  <c r="F46" i="28" s="1"/>
  <c r="E46" i="25"/>
  <c r="F45" i="25"/>
  <c r="F45" i="28" s="1"/>
  <c r="O45" i="28" s="1"/>
  <c r="E45" i="25"/>
  <c r="F38" i="25"/>
  <c r="F38" i="28" s="1"/>
  <c r="E38" i="25"/>
  <c r="F37" i="25"/>
  <c r="F37" i="28" s="1"/>
  <c r="E37" i="25"/>
  <c r="F35" i="25"/>
  <c r="F35" i="28" s="1"/>
  <c r="O35" i="28" s="1"/>
  <c r="P35" i="28" s="1"/>
  <c r="E35" i="25"/>
  <c r="F34" i="25"/>
  <c r="F34" i="28" s="1"/>
  <c r="O34" i="28" s="1"/>
  <c r="P34" i="28" s="1"/>
  <c r="E34" i="25"/>
  <c r="F33" i="25"/>
  <c r="F33" i="28" s="1"/>
  <c r="O33" i="28" s="1"/>
  <c r="O32" i="28" s="1"/>
  <c r="E33" i="25"/>
  <c r="E26" i="25"/>
  <c r="E25" i="25"/>
  <c r="E23" i="25"/>
  <c r="F22" i="25"/>
  <c r="F22" i="28" s="1"/>
  <c r="O22" i="28" s="1"/>
  <c r="E22" i="25"/>
  <c r="F21" i="25"/>
  <c r="F21" i="28" s="1"/>
  <c r="O21" i="28" s="1"/>
  <c r="E21" i="25"/>
  <c r="P32" i="28" l="1"/>
  <c r="G38" i="28"/>
  <c r="O38" i="28"/>
  <c r="P38" i="28" s="1"/>
  <c r="G46" i="28"/>
  <c r="O46" i="28"/>
  <c r="P46" i="28" s="1"/>
  <c r="G49" i="28"/>
  <c r="O49" i="28"/>
  <c r="G57" i="28"/>
  <c r="O57" i="28"/>
  <c r="G59" i="28"/>
  <c r="O59" i="28"/>
  <c r="P59" i="28" s="1"/>
  <c r="G62" i="28"/>
  <c r="O62" i="28"/>
  <c r="P62" i="28" s="1"/>
  <c r="G73" i="28"/>
  <c r="O73" i="28"/>
  <c r="G37" i="28"/>
  <c r="O37" i="28"/>
  <c r="O44" i="28"/>
  <c r="P45" i="28"/>
  <c r="G50" i="28"/>
  <c r="O50" i="28"/>
  <c r="P50" i="28" s="1"/>
  <c r="O51" i="28"/>
  <c r="F92" i="28"/>
  <c r="G92" i="28" s="1"/>
  <c r="G61" i="28"/>
  <c r="O61" i="28"/>
  <c r="P69" i="28"/>
  <c r="O68" i="28"/>
  <c r="G74" i="28"/>
  <c r="O74" i="28"/>
  <c r="P74" i="28" s="1"/>
  <c r="I68" i="28"/>
  <c r="J68" i="28" s="1"/>
  <c r="J68" i="25"/>
  <c r="G59" i="25"/>
  <c r="J56" i="25"/>
  <c r="G46" i="25"/>
  <c r="J32" i="25"/>
  <c r="G57" i="25"/>
  <c r="G73" i="25"/>
  <c r="J8" i="25"/>
  <c r="M87" i="25"/>
  <c r="L85" i="25"/>
  <c r="L31" i="25"/>
  <c r="L31" i="28" s="1"/>
  <c r="M31" i="28" s="1"/>
  <c r="L67" i="25"/>
  <c r="L67" i="28" s="1"/>
  <c r="M67" i="28" s="1"/>
  <c r="L19" i="25"/>
  <c r="L19" i="28" s="1"/>
  <c r="M19" i="28" s="1"/>
  <c r="L89" i="25"/>
  <c r="L7" i="25"/>
  <c r="L7" i="28" s="1"/>
  <c r="M7" i="28" s="1"/>
  <c r="K31" i="25"/>
  <c r="K19" i="25"/>
  <c r="K89" i="25"/>
  <c r="K7" i="25"/>
  <c r="K67" i="25"/>
  <c r="K85" i="25"/>
  <c r="M92" i="25"/>
  <c r="M12" i="25"/>
  <c r="M24" i="25"/>
  <c r="M60" i="25"/>
  <c r="M90" i="25"/>
  <c r="M91" i="25"/>
  <c r="M36" i="25"/>
  <c r="M86" i="25"/>
  <c r="M72" i="25"/>
  <c r="J24" i="25"/>
  <c r="J90" i="25"/>
  <c r="J48" i="25"/>
  <c r="I43" i="25"/>
  <c r="I43" i="28" s="1"/>
  <c r="J43" i="28" s="1"/>
  <c r="J86" i="25"/>
  <c r="I19" i="25"/>
  <c r="I19" i="28" s="1"/>
  <c r="J19" i="28" s="1"/>
  <c r="H31" i="25"/>
  <c r="I31" i="25"/>
  <c r="I31" i="28" s="1"/>
  <c r="J31" i="28" s="1"/>
  <c r="H19" i="25"/>
  <c r="H7" i="25"/>
  <c r="J44" i="25"/>
  <c r="I67" i="25"/>
  <c r="I67" i="28" s="1"/>
  <c r="J67" i="28" s="1"/>
  <c r="H55" i="25"/>
  <c r="I55" i="25"/>
  <c r="I55" i="28" s="1"/>
  <c r="J55" i="28" s="1"/>
  <c r="H89" i="25"/>
  <c r="H85" i="25"/>
  <c r="H43" i="25"/>
  <c r="I85" i="25"/>
  <c r="H67" i="25"/>
  <c r="J12" i="25"/>
  <c r="J87" i="25"/>
  <c r="J72" i="25"/>
  <c r="I7" i="25"/>
  <c r="I7" i="28" s="1"/>
  <c r="J7" i="28" s="1"/>
  <c r="J91" i="25"/>
  <c r="I89" i="25"/>
  <c r="J92" i="25"/>
  <c r="J60" i="25"/>
  <c r="J88" i="25"/>
  <c r="J36" i="25"/>
  <c r="E24" i="25"/>
  <c r="E72" i="25"/>
  <c r="E32" i="25"/>
  <c r="E44" i="25"/>
  <c r="E56" i="25"/>
  <c r="N27" i="25"/>
  <c r="N34" i="25"/>
  <c r="N37" i="25"/>
  <c r="N46" i="25"/>
  <c r="N49" i="25"/>
  <c r="N51" i="25"/>
  <c r="N58" i="25"/>
  <c r="N61" i="25"/>
  <c r="N70" i="25"/>
  <c r="N73" i="25"/>
  <c r="N75" i="25"/>
  <c r="E36" i="25"/>
  <c r="N22" i="25"/>
  <c r="F48" i="25"/>
  <c r="F48" i="28" s="1"/>
  <c r="G48" i="28" s="1"/>
  <c r="E48" i="25"/>
  <c r="N25" i="25"/>
  <c r="N21" i="25"/>
  <c r="N23" i="25"/>
  <c r="N26" i="25"/>
  <c r="N33" i="25"/>
  <c r="N35" i="25"/>
  <c r="N38" i="25"/>
  <c r="N45" i="25"/>
  <c r="N47" i="25"/>
  <c r="N50" i="25"/>
  <c r="N57" i="25"/>
  <c r="N59" i="25"/>
  <c r="N62" i="25"/>
  <c r="N69" i="25"/>
  <c r="N71" i="25"/>
  <c r="N74" i="25"/>
  <c r="E20" i="25"/>
  <c r="E68" i="25"/>
  <c r="E60" i="25"/>
  <c r="F32" i="25"/>
  <c r="F32" i="28" s="1"/>
  <c r="F56" i="25"/>
  <c r="F56" i="28" s="1"/>
  <c r="G56" i="28" s="1"/>
  <c r="F44" i="25"/>
  <c r="F44" i="28" s="1"/>
  <c r="G44" i="28" s="1"/>
  <c r="F68" i="25"/>
  <c r="F68" i="28" s="1"/>
  <c r="O22" i="25"/>
  <c r="O39" i="25"/>
  <c r="G39" i="25"/>
  <c r="O46" i="25"/>
  <c r="O51" i="25"/>
  <c r="O58" i="25"/>
  <c r="O73" i="25"/>
  <c r="F72" i="25"/>
  <c r="F72" i="28" s="1"/>
  <c r="G72" i="28" s="1"/>
  <c r="G37" i="25"/>
  <c r="O37" i="25"/>
  <c r="G49" i="25"/>
  <c r="O49" i="25"/>
  <c r="G61" i="25"/>
  <c r="O61" i="25"/>
  <c r="O70" i="25"/>
  <c r="O75" i="25"/>
  <c r="O33" i="25"/>
  <c r="O35" i="25"/>
  <c r="G50" i="25"/>
  <c r="O50" i="25"/>
  <c r="O57" i="25"/>
  <c r="O59" i="25"/>
  <c r="G74" i="25"/>
  <c r="O74" i="25"/>
  <c r="F36" i="25"/>
  <c r="F36" i="28" s="1"/>
  <c r="G36" i="28" s="1"/>
  <c r="F60" i="25"/>
  <c r="F60" i="28" s="1"/>
  <c r="G60" i="28" s="1"/>
  <c r="O27" i="25"/>
  <c r="O34" i="25"/>
  <c r="O21" i="25"/>
  <c r="O38" i="25"/>
  <c r="G38" i="25"/>
  <c r="O45" i="25"/>
  <c r="O47" i="25"/>
  <c r="O62" i="25"/>
  <c r="G62" i="25"/>
  <c r="O69" i="25"/>
  <c r="O71" i="25"/>
  <c r="F11" i="25"/>
  <c r="F11" i="28" s="1"/>
  <c r="F13" i="25"/>
  <c r="F13" i="28" s="1"/>
  <c r="F9" i="25"/>
  <c r="F9" i="28" s="1"/>
  <c r="F10" i="25"/>
  <c r="F10" i="28" s="1"/>
  <c r="E9" i="25"/>
  <c r="E11" i="25"/>
  <c r="E14" i="25"/>
  <c r="E13" i="25"/>
  <c r="E10" i="25"/>
  <c r="F86" i="28" l="1"/>
  <c r="O9" i="28"/>
  <c r="P51" i="28"/>
  <c r="O92" i="28"/>
  <c r="P92" i="28" s="1"/>
  <c r="P44" i="28"/>
  <c r="P49" i="28"/>
  <c r="O48" i="28"/>
  <c r="P48" i="28" s="1"/>
  <c r="G13" i="28"/>
  <c r="O13" i="28"/>
  <c r="O60" i="28"/>
  <c r="P60" i="28" s="1"/>
  <c r="P61" i="28"/>
  <c r="P37" i="28"/>
  <c r="O36" i="28"/>
  <c r="P57" i="28"/>
  <c r="O56" i="28"/>
  <c r="O11" i="28"/>
  <c r="F87" i="28"/>
  <c r="G87" i="28" s="1"/>
  <c r="O10" i="28"/>
  <c r="O87" i="28" s="1"/>
  <c r="P87" i="28" s="1"/>
  <c r="P68" i="28"/>
  <c r="O67" i="28"/>
  <c r="P67" i="28" s="1"/>
  <c r="O72" i="28"/>
  <c r="P72" i="28" s="1"/>
  <c r="P73" i="28"/>
  <c r="P69" i="25"/>
  <c r="P34" i="25"/>
  <c r="N36" i="25"/>
  <c r="P59" i="25"/>
  <c r="I84" i="25"/>
  <c r="M85" i="25"/>
  <c r="L84" i="25"/>
  <c r="M7" i="25"/>
  <c r="M19" i="25"/>
  <c r="M31" i="25"/>
  <c r="M67" i="25"/>
  <c r="K84" i="25"/>
  <c r="M89" i="25"/>
  <c r="J19" i="25"/>
  <c r="J31" i="25"/>
  <c r="J85" i="25"/>
  <c r="J55" i="25"/>
  <c r="J67" i="25"/>
  <c r="J7" i="25"/>
  <c r="J43" i="25"/>
  <c r="H84" i="25"/>
  <c r="J89" i="25"/>
  <c r="E67" i="25"/>
  <c r="F31" i="25"/>
  <c r="F31" i="28" s="1"/>
  <c r="G31" i="28" s="1"/>
  <c r="G48" i="25"/>
  <c r="F43" i="25"/>
  <c r="F43" i="28" s="1"/>
  <c r="G43" i="28" s="1"/>
  <c r="F67" i="25"/>
  <c r="F67" i="28" s="1"/>
  <c r="G67" i="28" s="1"/>
  <c r="E12" i="25"/>
  <c r="G44" i="25"/>
  <c r="F55" i="25"/>
  <c r="F55" i="28" s="1"/>
  <c r="G55" i="28" s="1"/>
  <c r="G56" i="25"/>
  <c r="E19" i="25"/>
  <c r="N10" i="25"/>
  <c r="E87" i="25"/>
  <c r="N24" i="25"/>
  <c r="N60" i="25"/>
  <c r="N14" i="25"/>
  <c r="E91" i="25"/>
  <c r="N11" i="25"/>
  <c r="E88" i="25"/>
  <c r="N56" i="25"/>
  <c r="N32" i="25"/>
  <c r="N15" i="25"/>
  <c r="N68" i="25"/>
  <c r="N44" i="25"/>
  <c r="N20" i="25"/>
  <c r="N72" i="25"/>
  <c r="N48" i="25"/>
  <c r="N13" i="25"/>
  <c r="E90" i="25"/>
  <c r="N9" i="25"/>
  <c r="E86" i="25"/>
  <c r="E55" i="25"/>
  <c r="E31" i="25"/>
  <c r="E43" i="25"/>
  <c r="O13" i="25"/>
  <c r="G13" i="25"/>
  <c r="P62" i="25"/>
  <c r="G36" i="25"/>
  <c r="P57" i="25"/>
  <c r="O56" i="25"/>
  <c r="O32" i="25"/>
  <c r="G72" i="25"/>
  <c r="P63" i="25"/>
  <c r="O68" i="25"/>
  <c r="P38" i="25"/>
  <c r="P75" i="25"/>
  <c r="P37" i="25"/>
  <c r="O36" i="25"/>
  <c r="O72" i="25"/>
  <c r="P73" i="25"/>
  <c r="P39" i="25"/>
  <c r="F8" i="25"/>
  <c r="F8" i="28" s="1"/>
  <c r="O9" i="25"/>
  <c r="F86" i="25"/>
  <c r="O10" i="25"/>
  <c r="F87" i="25"/>
  <c r="O11" i="25"/>
  <c r="P47" i="25"/>
  <c r="O44" i="25"/>
  <c r="P45" i="25"/>
  <c r="P74" i="25"/>
  <c r="P35" i="25"/>
  <c r="O48" i="25"/>
  <c r="P49" i="25"/>
  <c r="P51" i="25"/>
  <c r="P46" i="25"/>
  <c r="O15" i="25"/>
  <c r="F92" i="25"/>
  <c r="G60" i="25"/>
  <c r="P50" i="25"/>
  <c r="P61" i="25"/>
  <c r="O60" i="25"/>
  <c r="P58" i="25"/>
  <c r="E8" i="25"/>
  <c r="P36" i="28" l="1"/>
  <c r="O31" i="28"/>
  <c r="P31" i="28" s="1"/>
  <c r="P13" i="28"/>
  <c r="P9" i="28"/>
  <c r="O8" i="28"/>
  <c r="O86" i="28"/>
  <c r="P56" i="28"/>
  <c r="O55" i="28"/>
  <c r="P55" i="28" s="1"/>
  <c r="O43" i="28"/>
  <c r="P43" i="28" s="1"/>
  <c r="G86" i="28"/>
  <c r="P9" i="25"/>
  <c r="P68" i="25"/>
  <c r="G31" i="25"/>
  <c r="M48" i="25"/>
  <c r="M84" i="25"/>
  <c r="J84" i="25"/>
  <c r="G43" i="25"/>
  <c r="G67" i="25"/>
  <c r="G55" i="25"/>
  <c r="E85" i="25"/>
  <c r="N12" i="25"/>
  <c r="N90" i="25"/>
  <c r="N31" i="25"/>
  <c r="N55" i="25"/>
  <c r="E7" i="25"/>
  <c r="E89" i="25"/>
  <c r="N88" i="25"/>
  <c r="N43" i="25"/>
  <c r="N87" i="25"/>
  <c r="N8" i="25"/>
  <c r="N86" i="25"/>
  <c r="N19" i="25"/>
  <c r="N67" i="25"/>
  <c r="N92" i="25"/>
  <c r="N91" i="25"/>
  <c r="P60" i="25"/>
  <c r="O67" i="25"/>
  <c r="P44" i="25"/>
  <c r="O43" i="25"/>
  <c r="G87" i="25"/>
  <c r="P72" i="25"/>
  <c r="G92" i="25"/>
  <c r="G86" i="25"/>
  <c r="P56" i="25"/>
  <c r="O55" i="25"/>
  <c r="P13" i="25"/>
  <c r="P15" i="25"/>
  <c r="O92" i="25"/>
  <c r="P48" i="25"/>
  <c r="O87" i="25"/>
  <c r="O8" i="25"/>
  <c r="O86" i="25"/>
  <c r="P36" i="25"/>
  <c r="P32" i="25"/>
  <c r="O31" i="25"/>
  <c r="F14" i="25"/>
  <c r="F14" i="28" s="1"/>
  <c r="G14" i="28" l="1"/>
  <c r="O14" i="28"/>
  <c r="P86" i="28"/>
  <c r="P8" i="28"/>
  <c r="F12" i="25"/>
  <c r="F12" i="28" s="1"/>
  <c r="G12" i="28" s="1"/>
  <c r="G14" i="25"/>
  <c r="O14" i="25"/>
  <c r="O12" i="25" s="1"/>
  <c r="N85" i="25"/>
  <c r="N7" i="25"/>
  <c r="N89" i="25"/>
  <c r="E84" i="25"/>
  <c r="P31" i="25"/>
  <c r="P67" i="25"/>
  <c r="P86" i="25"/>
  <c r="P87" i="25"/>
  <c r="P8" i="25"/>
  <c r="P92" i="25"/>
  <c r="P43" i="25"/>
  <c r="P55" i="25"/>
  <c r="F23" i="25"/>
  <c r="F23" i="28" s="1"/>
  <c r="F25" i="25"/>
  <c r="F25" i="28" s="1"/>
  <c r="F26" i="25"/>
  <c r="F26" i="28" s="1"/>
  <c r="G25" i="28" l="1"/>
  <c r="O25" i="28"/>
  <c r="F90" i="28"/>
  <c r="P14" i="28"/>
  <c r="O12" i="28"/>
  <c r="O23" i="28"/>
  <c r="F88" i="28"/>
  <c r="G26" i="28"/>
  <c r="O26" i="28"/>
  <c r="P26" i="28" s="1"/>
  <c r="F91" i="28"/>
  <c r="G91" i="28" s="1"/>
  <c r="F91" i="25"/>
  <c r="G91" i="25" s="1"/>
  <c r="O25" i="25"/>
  <c r="G25" i="25"/>
  <c r="F24" i="25"/>
  <c r="F24" i="28" s="1"/>
  <c r="G24" i="28" s="1"/>
  <c r="F90" i="25"/>
  <c r="P14" i="25"/>
  <c r="O23" i="25"/>
  <c r="F20" i="25"/>
  <c r="F20" i="28" s="1"/>
  <c r="F88" i="25"/>
  <c r="G26" i="25"/>
  <c r="O26" i="25"/>
  <c r="F7" i="25"/>
  <c r="F7" i="28" s="1"/>
  <c r="G7" i="28" s="1"/>
  <c r="G12" i="25"/>
  <c r="N84" i="25"/>
  <c r="G88" i="28" l="1"/>
  <c r="F85" i="28"/>
  <c r="O91" i="28"/>
  <c r="P91" i="28" s="1"/>
  <c r="O20" i="28"/>
  <c r="O88" i="28"/>
  <c r="F89" i="28"/>
  <c r="G89" i="28" s="1"/>
  <c r="G90" i="28"/>
  <c r="P12" i="28"/>
  <c r="O7" i="28"/>
  <c r="P7" i="28" s="1"/>
  <c r="P25" i="28"/>
  <c r="O24" i="28"/>
  <c r="P24" i="28" s="1"/>
  <c r="O90" i="28"/>
  <c r="O91" i="25"/>
  <c r="P91" i="25" s="1"/>
  <c r="F19" i="25"/>
  <c r="F19" i="28" s="1"/>
  <c r="G19" i="28" s="1"/>
  <c r="G7" i="25"/>
  <c r="G88" i="25"/>
  <c r="F85" i="25"/>
  <c r="O20" i="25"/>
  <c r="O88" i="25"/>
  <c r="P26" i="25"/>
  <c r="F89" i="25"/>
  <c r="G90" i="25"/>
  <c r="O24" i="25"/>
  <c r="P25" i="25"/>
  <c r="O90" i="25"/>
  <c r="O7" i="25"/>
  <c r="P12" i="25"/>
  <c r="G24" i="25"/>
  <c r="P90" i="28" l="1"/>
  <c r="O89" i="28"/>
  <c r="P89" i="28" s="1"/>
  <c r="O19" i="28"/>
  <c r="P19" i="28" s="1"/>
  <c r="G85" i="28"/>
  <c r="F84" i="28"/>
  <c r="G84" i="28" s="1"/>
  <c r="P88" i="28"/>
  <c r="O85" i="28"/>
  <c r="O85" i="25"/>
  <c r="P88" i="25"/>
  <c r="P24" i="25"/>
  <c r="F84" i="25"/>
  <c r="G85" i="25"/>
  <c r="P7" i="25"/>
  <c r="G89" i="25"/>
  <c r="O19" i="25"/>
  <c r="O89" i="25"/>
  <c r="P90" i="25"/>
  <c r="G19" i="25"/>
  <c r="K22" i="17"/>
  <c r="J22" i="17"/>
  <c r="K21" i="17"/>
  <c r="J21" i="17"/>
  <c r="K20" i="17"/>
  <c r="J20" i="17"/>
  <c r="K19" i="17"/>
  <c r="J19" i="17"/>
  <c r="K18" i="17"/>
  <c r="J18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10" i="17"/>
  <c r="J10" i="17"/>
  <c r="K9" i="17"/>
  <c r="J9" i="17"/>
  <c r="K8" i="17"/>
  <c r="J8" i="17"/>
  <c r="G7" i="17"/>
  <c r="H6" i="17"/>
  <c r="G6" i="17"/>
  <c r="G5" i="17"/>
  <c r="H22" i="17"/>
  <c r="G22" i="17"/>
  <c r="H21" i="17"/>
  <c r="I21" i="17" s="1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K22" i="16"/>
  <c r="J22" i="16"/>
  <c r="K21" i="16"/>
  <c r="J21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K10" i="16"/>
  <c r="J10" i="16"/>
  <c r="K9" i="16"/>
  <c r="J9" i="16"/>
  <c r="K8" i="16"/>
  <c r="J8" i="16"/>
  <c r="H6" i="16"/>
  <c r="G7" i="16"/>
  <c r="G6" i="16"/>
  <c r="H21" i="16"/>
  <c r="H22" i="16"/>
  <c r="G22" i="16"/>
  <c r="G21" i="16"/>
  <c r="H20" i="16"/>
  <c r="G20" i="16"/>
  <c r="H12" i="16"/>
  <c r="H9" i="16"/>
  <c r="E6" i="16"/>
  <c r="H15" i="16"/>
  <c r="H16" i="16"/>
  <c r="G16" i="16"/>
  <c r="G15" i="16"/>
  <c r="H14" i="16"/>
  <c r="G14" i="16"/>
  <c r="H18" i="16"/>
  <c r="H19" i="16"/>
  <c r="G19" i="16"/>
  <c r="G18" i="16"/>
  <c r="H17" i="16"/>
  <c r="H13" i="16"/>
  <c r="G13" i="16"/>
  <c r="G12" i="16"/>
  <c r="H11" i="16"/>
  <c r="G11" i="16"/>
  <c r="H10" i="17"/>
  <c r="G10" i="17"/>
  <c r="H9" i="17"/>
  <c r="G9" i="17"/>
  <c r="H8" i="17"/>
  <c r="G8" i="17"/>
  <c r="P85" i="28" l="1"/>
  <c r="O84" i="28"/>
  <c r="P84" i="28" s="1"/>
  <c r="I21" i="16"/>
  <c r="L12" i="16"/>
  <c r="L18" i="17"/>
  <c r="L12" i="17"/>
  <c r="I18" i="17"/>
  <c r="L18" i="16"/>
  <c r="I12" i="16"/>
  <c r="I18" i="16"/>
  <c r="I6" i="16"/>
  <c r="P89" i="25"/>
  <c r="P19" i="25"/>
  <c r="G84" i="25"/>
  <c r="P85" i="25"/>
  <c r="O84" i="25"/>
  <c r="L14" i="16"/>
  <c r="L16" i="16"/>
  <c r="L19" i="16"/>
  <c r="L17" i="17"/>
  <c r="L19" i="17"/>
  <c r="L20" i="17"/>
  <c r="L22" i="17"/>
  <c r="L14" i="17"/>
  <c r="L5" i="17"/>
  <c r="L7" i="16"/>
  <c r="L7" i="17"/>
  <c r="L11" i="16"/>
  <c r="L17" i="16"/>
  <c r="L11" i="17"/>
  <c r="L20" i="16"/>
  <c r="L22" i="16"/>
  <c r="L16" i="17"/>
  <c r="L13" i="17"/>
  <c r="L13" i="16"/>
  <c r="L8" i="17"/>
  <c r="L5" i="16"/>
  <c r="L8" i="16"/>
  <c r="I20" i="17"/>
  <c r="I11" i="16"/>
  <c r="I22" i="17"/>
  <c r="I13" i="17"/>
  <c r="I13" i="16"/>
  <c r="I14" i="16"/>
  <c r="I22" i="16"/>
  <c r="I11" i="17"/>
  <c r="H7" i="17"/>
  <c r="I19" i="17"/>
  <c r="H5" i="17"/>
  <c r="I17" i="16"/>
  <c r="I14" i="17"/>
  <c r="I19" i="16"/>
  <c r="I17" i="17"/>
  <c r="I20" i="16"/>
  <c r="H5" i="16"/>
  <c r="G5" i="16"/>
  <c r="I8" i="17"/>
  <c r="H7" i="16"/>
  <c r="I15" i="17"/>
  <c r="L10" i="17"/>
  <c r="I16" i="17"/>
  <c r="L10" i="16"/>
  <c r="I15" i="16"/>
  <c r="I16" i="16"/>
  <c r="I10" i="17"/>
  <c r="G10" i="16"/>
  <c r="G9" i="16"/>
  <c r="H8" i="16"/>
  <c r="P84" i="25" l="1"/>
  <c r="G8" i="16"/>
  <c r="I8" i="16" s="1"/>
  <c r="H10" i="16"/>
  <c r="I10" i="16" s="1"/>
  <c r="K25" i="16" l="1"/>
  <c r="J25" i="16"/>
  <c r="K24" i="16"/>
  <c r="J24" i="16"/>
  <c r="K23" i="16"/>
  <c r="J23" i="16"/>
  <c r="K25" i="17"/>
  <c r="J25" i="17"/>
  <c r="K24" i="17"/>
  <c r="J24" i="17"/>
  <c r="K23" i="17"/>
  <c r="J23" i="17"/>
  <c r="L25" i="17" l="1"/>
  <c r="L24" i="17"/>
  <c r="L23" i="17"/>
  <c r="L24" i="16"/>
  <c r="L25" i="16"/>
  <c r="L23" i="16"/>
  <c r="E7" i="17" l="1"/>
  <c r="E6" i="17"/>
  <c r="E5" i="17"/>
  <c r="D7" i="17"/>
  <c r="D6" i="17"/>
  <c r="D5" i="17"/>
  <c r="E7" i="16"/>
  <c r="E5" i="16"/>
  <c r="D7" i="16"/>
  <c r="D6" i="16"/>
  <c r="D5" i="16"/>
  <c r="N6" i="16" l="1"/>
  <c r="M6" i="16"/>
  <c r="G24" i="16"/>
  <c r="I5" i="17"/>
  <c r="N5" i="17"/>
  <c r="H23" i="17"/>
  <c r="I7" i="17"/>
  <c r="N7" i="17"/>
  <c r="H25" i="17"/>
  <c r="N5" i="16"/>
  <c r="H23" i="16"/>
  <c r="I5" i="16"/>
  <c r="M6" i="17"/>
  <c r="G24" i="17"/>
  <c r="M5" i="16"/>
  <c r="G23" i="16"/>
  <c r="G25" i="16"/>
  <c r="M7" i="16"/>
  <c r="N6" i="17"/>
  <c r="H24" i="17"/>
  <c r="I7" i="16"/>
  <c r="N7" i="16"/>
  <c r="H25" i="16"/>
  <c r="G23" i="17"/>
  <c r="M5" i="17"/>
  <c r="G25" i="17"/>
  <c r="M7" i="17"/>
  <c r="H24" i="16"/>
  <c r="E12" i="16"/>
  <c r="E18" i="16"/>
  <c r="N18" i="16" s="1"/>
  <c r="N12" i="16" l="1"/>
  <c r="I24" i="17"/>
  <c r="I24" i="16"/>
  <c r="O6" i="16"/>
  <c r="I23" i="16"/>
  <c r="I25" i="16"/>
  <c r="O5" i="16"/>
  <c r="I23" i="17"/>
  <c r="O7" i="16"/>
  <c r="I25" i="17"/>
  <c r="O5" i="17"/>
  <c r="O7" i="17"/>
  <c r="E16" i="17" l="1"/>
  <c r="N16" i="17" s="1"/>
  <c r="D16" i="17"/>
  <c r="M16" i="17" s="1"/>
  <c r="E15" i="17"/>
  <c r="N15" i="17" s="1"/>
  <c r="D15" i="17"/>
  <c r="M15" i="17" s="1"/>
  <c r="E14" i="17"/>
  <c r="N14" i="17" s="1"/>
  <c r="D14" i="17"/>
  <c r="M14" i="17" s="1"/>
  <c r="E16" i="16"/>
  <c r="D16" i="16"/>
  <c r="M16" i="16" s="1"/>
  <c r="E15" i="16"/>
  <c r="N15" i="16" s="1"/>
  <c r="D15" i="16"/>
  <c r="M15" i="16" s="1"/>
  <c r="E14" i="16"/>
  <c r="D14" i="16"/>
  <c r="M14" i="16" s="1"/>
  <c r="O15" i="17" l="1"/>
  <c r="O14" i="17"/>
  <c r="O16" i="17"/>
  <c r="O15" i="16"/>
  <c r="F14" i="16"/>
  <c r="N14" i="16"/>
  <c r="O14" i="16" s="1"/>
  <c r="N16" i="16"/>
  <c r="F15" i="16"/>
  <c r="F16" i="16"/>
  <c r="F14" i="17"/>
  <c r="F16" i="17"/>
  <c r="O16" i="16" l="1"/>
  <c r="E10" i="17" l="1"/>
  <c r="N10" i="17" s="1"/>
  <c r="D10" i="17"/>
  <c r="M10" i="17" s="1"/>
  <c r="E9" i="17"/>
  <c r="D9" i="17"/>
  <c r="M9" i="17" s="1"/>
  <c r="E8" i="17"/>
  <c r="N8" i="17" s="1"/>
  <c r="D8" i="17"/>
  <c r="M8" i="17" s="1"/>
  <c r="E22" i="17"/>
  <c r="N22" i="17" s="1"/>
  <c r="D22" i="17"/>
  <c r="M22" i="17" s="1"/>
  <c r="E21" i="17"/>
  <c r="N21" i="17" s="1"/>
  <c r="D21" i="17"/>
  <c r="M21" i="17" s="1"/>
  <c r="E20" i="17"/>
  <c r="N20" i="17" s="1"/>
  <c r="D20" i="17"/>
  <c r="M20" i="17" s="1"/>
  <c r="E19" i="17"/>
  <c r="N19" i="17" s="1"/>
  <c r="D19" i="17"/>
  <c r="M19" i="17" s="1"/>
  <c r="E18" i="17"/>
  <c r="N18" i="17" s="1"/>
  <c r="D18" i="17"/>
  <c r="M18" i="17" s="1"/>
  <c r="E17" i="17"/>
  <c r="N17" i="17" s="1"/>
  <c r="D17" i="17"/>
  <c r="M17" i="17" s="1"/>
  <c r="N9" i="17" l="1"/>
  <c r="O20" i="17"/>
  <c r="O18" i="17"/>
  <c r="O19" i="17"/>
  <c r="O21" i="17"/>
  <c r="O17" i="17"/>
  <c r="O22" i="17"/>
  <c r="O8" i="17"/>
  <c r="O10" i="17"/>
  <c r="F8" i="17"/>
  <c r="F10" i="17"/>
  <c r="F19" i="17"/>
  <c r="F17" i="17"/>
  <c r="F20" i="17"/>
  <c r="F22" i="17"/>
  <c r="F18" i="17"/>
  <c r="E19" i="16"/>
  <c r="N19" i="16" s="1"/>
  <c r="D19" i="16"/>
  <c r="M19" i="16" s="1"/>
  <c r="D18" i="16"/>
  <c r="M18" i="16" s="1"/>
  <c r="E17" i="16"/>
  <c r="N17" i="16" s="1"/>
  <c r="D17" i="16"/>
  <c r="M17" i="16" s="1"/>
  <c r="O19" i="16" l="1"/>
  <c r="O18" i="16"/>
  <c r="O17" i="16"/>
  <c r="F17" i="16"/>
  <c r="F18" i="16"/>
  <c r="F19" i="16"/>
  <c r="E22" i="16"/>
  <c r="N22" i="16" s="1"/>
  <c r="D22" i="16"/>
  <c r="M22" i="16" s="1"/>
  <c r="E21" i="16"/>
  <c r="N21" i="16" s="1"/>
  <c r="D21" i="16"/>
  <c r="M21" i="16" s="1"/>
  <c r="E20" i="16"/>
  <c r="N20" i="16" s="1"/>
  <c r="D20" i="16"/>
  <c r="M20" i="16" s="1"/>
  <c r="O21" i="16" l="1"/>
  <c r="O20" i="16"/>
  <c r="O22" i="16"/>
  <c r="F22" i="16"/>
  <c r="F20" i="16"/>
  <c r="E10" i="16"/>
  <c r="D10" i="16"/>
  <c r="M10" i="16" s="1"/>
  <c r="E9" i="16"/>
  <c r="D9" i="16"/>
  <c r="M9" i="16" s="1"/>
  <c r="E8" i="16"/>
  <c r="N8" i="16" s="1"/>
  <c r="D8" i="16"/>
  <c r="M8" i="16" s="1"/>
  <c r="O8" i="16" l="1"/>
  <c r="N9" i="16"/>
  <c r="N10" i="16"/>
  <c r="F8" i="16"/>
  <c r="F10" i="16"/>
  <c r="O10" i="16" l="1"/>
  <c r="N24" i="16"/>
  <c r="D13" i="17"/>
  <c r="M13" i="17" s="1"/>
  <c r="M25" i="17" s="1"/>
  <c r="E13" i="17"/>
  <c r="N13" i="17" s="1"/>
  <c r="E12" i="17"/>
  <c r="D12" i="17"/>
  <c r="M12" i="17" s="1"/>
  <c r="M24" i="17" s="1"/>
  <c r="E11" i="17"/>
  <c r="N11" i="17" s="1"/>
  <c r="D11" i="17"/>
  <c r="M11" i="17" s="1"/>
  <c r="M23" i="17" s="1"/>
  <c r="D13" i="16"/>
  <c r="M13" i="16" s="1"/>
  <c r="E13" i="16"/>
  <c r="D12" i="16"/>
  <c r="E11" i="16"/>
  <c r="N11" i="16" s="1"/>
  <c r="D11" i="16"/>
  <c r="M11" i="16" s="1"/>
  <c r="M23" i="16" s="1"/>
  <c r="N12" i="17" l="1"/>
  <c r="M12" i="16"/>
  <c r="O12" i="16" s="1"/>
  <c r="O11" i="16"/>
  <c r="N23" i="16"/>
  <c r="O23" i="16" s="1"/>
  <c r="M25" i="16"/>
  <c r="O13" i="17"/>
  <c r="N25" i="17"/>
  <c r="O25" i="17" s="1"/>
  <c r="O11" i="17"/>
  <c r="N23" i="17"/>
  <c r="O23" i="17" s="1"/>
  <c r="N13" i="16"/>
  <c r="F11" i="16"/>
  <c r="F13" i="16"/>
  <c r="F11" i="17"/>
  <c r="F13" i="17"/>
  <c r="N24" i="17" l="1"/>
  <c r="O24" i="17" s="1"/>
  <c r="O12" i="17"/>
  <c r="M24" i="16"/>
  <c r="O24" i="16" s="1"/>
  <c r="O13" i="16"/>
  <c r="N25" i="16"/>
  <c r="O25" i="16" s="1"/>
  <c r="D24" i="17"/>
  <c r="D25" i="17"/>
  <c r="D23" i="17"/>
  <c r="E23" i="16"/>
  <c r="D25" i="16"/>
  <c r="D23" i="16"/>
  <c r="E25" i="16" l="1"/>
  <c r="F25" i="16" s="1"/>
  <c r="D24" i="16"/>
  <c r="F23" i="16"/>
  <c r="F7" i="17"/>
  <c r="F5" i="17"/>
  <c r="E25" i="17"/>
  <c r="F25" i="17" s="1"/>
  <c r="E24" i="17"/>
  <c r="F24" i="17" s="1"/>
  <c r="E23" i="17"/>
  <c r="F23" i="17" s="1"/>
  <c r="E24" i="16"/>
  <c r="F5" i="16"/>
  <c r="F7" i="16"/>
  <c r="F24" i="16" l="1"/>
  <c r="K43" i="25" l="1"/>
  <c r="L43" i="25"/>
  <c r="L43" i="28" s="1"/>
  <c r="M43" i="28" s="1"/>
  <c r="M43" i="25" l="1"/>
</calcChain>
</file>

<file path=xl/comments1.xml><?xml version="1.0" encoding="utf-8"?>
<comments xmlns="http://schemas.openxmlformats.org/spreadsheetml/2006/main">
  <authors>
    <author>Смирнов Андрей Валерьевич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РП 2 ф.14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ф.303-22 (РП 2 яч.12)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ф.40-12 (ТП 6 яч.1)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ф.40-28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ф.266-06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ф.35-03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35 (1) (ПАО "Ленэнерго")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ф.35-03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ф.267-06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ф.35-03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ф.35-03 (ЛР-56)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ф.36-03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ф.267-06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ф.143-22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ф.4-04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ф.143-29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ф.339-04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ф.243-12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ф.243-10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ф.243-12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ф.243-10 (ПАО "Ленэнерго")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ф.243-12 (ПАО "Ленэнерго")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ф.243-10 (ПАО "Ленэнерго")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ф.243-10 (ПАО "Ленэнерго")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ф.243-12 (ПАО "Ленэнерго")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ф.243-10 (ПАО "Ленэнерго")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2 ф. Поселки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ф.351-01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ф.333-05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ф.168-10 (РП 3 яч.11)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ф.503-23 (РП 8 яч.5)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яч.14)</t>
        </r>
      </text>
    </comment>
    <comment ref="C3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ф.168-25 (РП 4 яч.13)</t>
        </r>
      </text>
    </comment>
    <comment ref="C3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ф.168-31 (РП 11 яч.3)</t>
        </r>
      </text>
    </comment>
    <comment ref="C3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ф.168-25 (РП 4 яч.13)</t>
        </r>
      </text>
    </comment>
    <comment ref="C3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</t>
        </r>
      </text>
    </comment>
    <comment ref="C4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яч.14)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яч.14)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ф.333-04 (РП 9 яч.14)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ф.168-24 (РП 4 яч.14)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ф.189-01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ф.189-11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ф.189-04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ф.189-04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ф.189-04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ПС 537 (3) (ПАО "Ленэнерго")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ф.330-01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ф.537-402 (ТП 8495 яч.9)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ф.330-01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ф.620-26 (ПАО "Ленэнерго")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ф.Спр-01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ф.537-503 (ТП 03 яч.4)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ф.218-206 (РТП 200 яч.18)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ф.620-26 (ПАО "Ленэнерго")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ф.547-01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ф.416-06 (ПП-421)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ф.628-05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ПС Ореховая-тяговая ф.05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ф.335-413 (РТП 100 яч.16)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ф.559-103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ф.559-103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ф.525-117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ПС Ореховая-тяговая ф.05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ф.559-103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ф.350-08 (ТГК-1)</t>
        </r>
      </text>
    </comment>
    <comment ref="C6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Вещевская (2)</t>
        </r>
      </text>
    </comment>
    <comment ref="C7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ф.К-23</t>
        </r>
      </text>
    </comment>
    <comment ref="C7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ф.К-31 (РП 61)</t>
        </r>
      </text>
    </comment>
    <comment ref="C7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ф.К-10</t>
        </r>
      </text>
    </comment>
    <comment ref="C7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ф.К-03</t>
        </r>
      </text>
    </comment>
    <comment ref="C7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ф.159-42 (ТП 272)</t>
        </r>
      </text>
    </comment>
    <comment ref="C7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ф.К-04</t>
        </r>
      </text>
    </comment>
    <comment ref="C7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ф.Ткр-05 (ПАО "Ленэнерго")</t>
        </r>
      </text>
    </comment>
    <comment ref="C7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ф.К-23</t>
        </r>
      </text>
    </comment>
    <comment ref="C7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ф.331-01</t>
        </r>
      </text>
    </comment>
    <comment ref="C7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ф.26-10</t>
        </r>
      </text>
    </comment>
    <comment ref="C8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ф.26-09</t>
        </r>
      </text>
    </comment>
    <comment ref="C8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ф.2-11</t>
        </r>
      </text>
    </comment>
    <comment ref="C8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ф.Кмн-04</t>
        </r>
      </text>
    </comment>
    <comment ref="C8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ф.Ряб-09</t>
        </r>
      </text>
    </comment>
    <comment ref="C8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ф.Кмн-04</t>
        </r>
      </text>
    </comment>
    <comment ref="C8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0,4 кВ от ТП 19
ШРН-13</t>
        </r>
      </text>
    </comment>
    <comment ref="C8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ф.Прм-02</t>
        </r>
      </text>
    </comment>
    <comment ref="C8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ф.Прм-02</t>
        </r>
      </text>
    </comment>
    <comment ref="C8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ф.375-13</t>
        </r>
      </text>
    </comment>
    <comment ref="C8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ф.Лада-05 (ПП-515)</t>
        </r>
      </text>
    </comment>
    <comment ref="C9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ф.375-13</t>
        </r>
      </text>
    </comment>
    <comment ref="C9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ф.Лада-04</t>
        </r>
      </text>
    </comment>
    <comment ref="C9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ф.Лада-03</t>
        </r>
      </text>
    </comment>
    <comment ref="C9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ф.375-04 (ТП 251 - ТП 289)</t>
        </r>
      </text>
    </comment>
    <comment ref="C9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ф.Лада-04</t>
        </r>
      </text>
    </comment>
    <comment ref="C9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ф.41-09 (ЛР-204)</t>
        </r>
      </text>
    </comment>
    <comment ref="C9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ф.41-01</t>
        </r>
      </text>
    </comment>
    <comment ref="C9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ф.Лада-04</t>
        </r>
      </text>
    </comment>
    <comment ref="C9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ф.377-01</t>
        </r>
      </text>
    </comment>
    <comment ref="C9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ф.515-38</t>
        </r>
      </text>
    </comment>
    <comment ref="C10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ф.377-04</t>
        </r>
      </text>
    </comment>
    <comment ref="C10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ф.382-12 (ТП 180)</t>
        </r>
      </text>
    </comment>
    <comment ref="C10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ф.30-01</t>
        </r>
      </text>
    </comment>
    <comment ref="C10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ф.524-01</t>
        </r>
      </text>
    </comment>
    <comment ref="C10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ф.731-02</t>
        </r>
      </text>
    </comment>
    <comment ref="C10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ф.515-70</t>
        </r>
      </text>
    </comment>
    <comment ref="C10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ф.729-05 (ПП 0522)</t>
        </r>
      </text>
    </comment>
    <comment ref="C10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ф.729-05 (ПП 0522)</t>
        </r>
      </text>
    </comment>
    <comment ref="C10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409 (1)</t>
        </r>
      </text>
    </comment>
    <comment ref="C10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409 (1)</t>
        </r>
      </text>
    </comment>
    <comment ref="C11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733</t>
        </r>
      </text>
    </comment>
    <comment ref="C11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523
Л-5</t>
        </r>
      </text>
    </comment>
    <comment ref="C11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733 (Т-1)</t>
        </r>
      </text>
    </comment>
    <comment ref="C11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ф.720-07</t>
        </r>
      </text>
    </comment>
    <comment ref="C11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409 (1)</t>
        </r>
      </text>
    </comment>
    <comment ref="C11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409
Л-3</t>
        </r>
      </text>
    </comment>
    <comment ref="C11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733 (Т-1)</t>
        </r>
      </text>
    </comment>
    <comment ref="C11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523
Л-5</t>
        </r>
      </text>
    </comment>
    <comment ref="C11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523
Л-5</t>
        </r>
      </text>
    </comment>
    <comment ref="C11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733 (Т-1)</t>
        </r>
      </text>
    </comment>
    <comment ref="C12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733 (Т-1)</t>
        </r>
      </text>
    </comment>
    <comment ref="C12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523
Л-1</t>
        </r>
      </text>
    </comment>
    <comment ref="C12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532
Л-2</t>
        </r>
      </text>
    </comment>
    <comment ref="C12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532
Л-2</t>
        </r>
      </text>
    </comment>
    <comment ref="C12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ф.717-04</t>
        </r>
      </text>
    </comment>
    <comment ref="C12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ф.483-43</t>
        </r>
      </text>
    </comment>
    <comment ref="C12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ф.716-11</t>
        </r>
      </text>
    </comment>
    <comment ref="C12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ф.716-05 (ПАО "Ленэнерго")</t>
        </r>
      </text>
    </comment>
    <comment ref="C12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ф.716-05 (ПАО "Ленэнерго")</t>
        </r>
      </text>
    </comment>
    <comment ref="C12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ф.483-02</t>
        </r>
      </text>
    </comment>
    <comment ref="C13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717 (ПАО "Ленэнерго")</t>
        </r>
      </text>
    </comment>
    <comment ref="C13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ф.483-09</t>
        </r>
      </text>
    </comment>
    <comment ref="C13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ф.483-43</t>
        </r>
      </text>
    </comment>
    <comment ref="C13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ф.225н-201</t>
        </r>
      </text>
    </comment>
    <comment ref="C13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ф.Гт-10</t>
        </r>
      </text>
    </comment>
    <comment ref="C13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ф.224-22</t>
        </r>
      </text>
    </comment>
    <comment ref="C13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ф.322-11</t>
        </r>
      </text>
    </comment>
    <comment ref="C13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ф.322-01</t>
        </r>
      </text>
    </comment>
    <comment ref="C13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ф.259-21</t>
        </r>
      </text>
    </comment>
    <comment ref="C13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ф.259-03</t>
        </r>
      </text>
    </comment>
    <comment ref="C14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ф.322-06</t>
        </r>
      </text>
    </comment>
    <comment ref="C14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ф.354-39 (РП 7 - ТП 12)</t>
        </r>
      </text>
    </comment>
    <comment ref="C14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ф.354-39 (РП 7 - ТП 17)</t>
        </r>
      </text>
    </comment>
    <comment ref="C14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ф.48-08</t>
        </r>
      </text>
    </comment>
    <comment ref="C14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ф.48-19</t>
        </r>
      </text>
    </comment>
    <comment ref="C14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ф.48-08</t>
        </r>
      </text>
    </comment>
    <comment ref="C14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ф.406-06</t>
        </r>
      </text>
    </comment>
    <comment ref="C14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ф.48-08</t>
        </r>
      </text>
    </comment>
    <comment ref="C14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ф.406-06</t>
        </r>
      </text>
    </comment>
    <comment ref="C14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ф.406-06</t>
        </r>
      </text>
    </comment>
  </commentList>
</comments>
</file>

<file path=xl/comments2.xml><?xml version="1.0" encoding="utf-8"?>
<comments xmlns="http://schemas.openxmlformats.org/spreadsheetml/2006/main">
  <authors>
    <author>Смирнов Андрей Валерьевич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РП 2 ф.21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ГЭС 6 ф.Город-2 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ф.553-09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РП 1 ф.07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РП 2 ф.14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ф.40-19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ф.40-29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ф.31-06 (ТП 3 яч.4)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35 (1) (ПАО "Ленэнерго")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ф.36-03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ф.143-29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8
20 квартал середина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ф.206-03 (ПАО "Ленэнерго")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ф.206-03 (ПАО "Ленэнерго")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ф.243-12 (ПАО "Ленэнерго")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яч.14)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ф.333-22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яч.14)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ф.169-101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яч.14)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яч.13)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яч.13)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яч.13)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яч.13)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ф.333-05 (ТП К-1 яч.1)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ф.547-01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ф.547-01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ф.547-01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ф.628-05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ф.547-01</t>
        </r>
      </text>
    </comment>
    <comment ref="C3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ф.547-01</t>
        </r>
      </text>
    </comment>
    <comment ref="C3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0,4 кВ от ТП 8823
Л-4</t>
        </r>
      </text>
    </comment>
    <comment ref="C3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ф.547-01</t>
        </r>
      </text>
    </comment>
    <comment ref="C3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ф.620-26 (ПАО "Ленэнерго")</t>
        </r>
      </text>
    </comment>
    <comment ref="C4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ф.620-26 (ПАО "Ленэнерго")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ф.547-01</t>
        </r>
      </text>
    </comment>
    <comment ref="C4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ф.365-106 (ПАО "Ленэнерго")</t>
        </r>
      </text>
    </comment>
    <comment ref="C4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0,4 кВ от ТП 8479
Л-3</t>
        </r>
      </text>
    </comment>
    <comment ref="C4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ф.365-106 (ПАО "Ленэнерго")</t>
        </r>
      </text>
    </comment>
    <comment ref="C4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6 кВ ф.Вст-4 (РТП 001 яч.20)</t>
        </r>
      </text>
    </comment>
    <comment ref="C4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530</t>
        </r>
      </text>
    </comment>
    <comment ref="C4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348</t>
        </r>
      </text>
    </comment>
    <comment ref="C4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530</t>
        </r>
      </text>
    </comment>
    <comment ref="C4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ф.350-08 (ТГК-1)</t>
        </r>
      </text>
    </comment>
    <comment ref="C5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110 кВ Ильинка (ПС 525) (2) (ПАО "Ленэнерго")</t>
        </r>
      </text>
    </comment>
    <comment ref="C5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6 кВ ф.Вст-4</t>
        </r>
      </text>
    </comment>
    <comment ref="C5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ф.159-30</t>
        </r>
      </text>
    </comment>
    <comment ref="C5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ф.К-31</t>
        </r>
      </text>
    </comment>
    <comment ref="C5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160 (1)</t>
        </r>
      </text>
    </comment>
    <comment ref="C5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ф.25-14 (РП 4 - ТП 81)</t>
        </r>
      </text>
    </comment>
    <comment ref="C5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ф.25-02 (РП 4 - ТП 81)</t>
        </r>
      </text>
    </comment>
    <comment ref="C5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ф.159-27 (РТП 396 - ТП 143)</t>
        </r>
      </text>
    </comment>
    <comment ref="C5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ф.К-31 (ТП 104)</t>
        </r>
      </text>
    </comment>
    <comment ref="C5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ф.К-31</t>
        </r>
      </text>
    </comment>
    <comment ref="C6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ф.К-31 (ТП 104)</t>
        </r>
      </text>
    </comment>
    <comment ref="C6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ф.Млд-02</t>
        </r>
      </text>
    </comment>
    <comment ref="C6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73 (1)</t>
        </r>
      </text>
    </comment>
    <comment ref="C6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ф.159-14 (ТП 441 - ТП 250)</t>
        </r>
      </text>
    </comment>
    <comment ref="C6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190 (1)</t>
        </r>
      </text>
    </comment>
    <comment ref="C6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ф.К-04</t>
        </r>
      </text>
    </comment>
    <comment ref="C6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ф.К-10</t>
        </r>
      </text>
    </comment>
    <comment ref="C6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0,4 кВ от ТП 238
ШРН-256 - ШРН 255</t>
        </r>
      </text>
    </comment>
    <comment ref="C6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ф.Прд-01</t>
        </r>
      </text>
    </comment>
    <comment ref="C6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35 кВ Лесогорская (1)</t>
        </r>
      </text>
    </comment>
    <comment ref="C7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51
ул. Подгорная</t>
        </r>
      </text>
    </comment>
    <comment ref="C7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ф.Ряб-09</t>
        </r>
      </text>
    </comment>
    <comment ref="C7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ф.380-03</t>
        </r>
      </text>
    </comment>
    <comment ref="C7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ф.Бч-04</t>
        </r>
      </text>
    </comment>
    <comment ref="C7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ф.595-309 (ТП 7)</t>
        </r>
      </text>
    </comment>
    <comment ref="C7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ф.Лада-05</t>
        </r>
      </text>
    </comment>
    <comment ref="C7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ф.Лада-05</t>
        </r>
      </text>
    </comment>
    <comment ref="C7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ф.41-09</t>
        </r>
      </text>
    </comment>
    <comment ref="C7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ф.30-01</t>
        </r>
      </text>
    </comment>
    <comment ref="C7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ф.Лдг-207 (ЛР оп.73)</t>
        </r>
      </text>
    </comment>
    <comment ref="C8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ф.524-01</t>
        </r>
      </text>
    </comment>
    <comment ref="C8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ф.524-04 (ТП 757 яч.3)</t>
        </r>
      </text>
    </comment>
    <comment ref="C8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ф.377-04</t>
        </r>
      </text>
    </comment>
    <comment ref="C8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ф.377-04</t>
        </r>
      </text>
    </comment>
    <comment ref="C8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101
Л-10</t>
        </r>
      </text>
    </comment>
    <comment ref="C8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ф.496-22</t>
        </r>
      </text>
    </comment>
    <comment ref="C8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0,4 кВ от ТП 142
Л-4</t>
        </r>
      </text>
    </comment>
    <comment ref="C8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ф.382-05</t>
        </r>
      </text>
    </comment>
    <comment ref="C8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721
Л-10</t>
        </r>
      </text>
    </comment>
    <comment ref="C8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ф.377-04</t>
        </r>
      </text>
    </comment>
    <comment ref="C9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ф.325-11</t>
        </r>
      </text>
    </comment>
    <comment ref="C9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ф.731-01</t>
        </r>
      </text>
    </comment>
    <comment ref="C9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ф.193-22</t>
        </r>
      </text>
    </comment>
    <comment ref="C9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ф.377-01</t>
        </r>
      </text>
    </comment>
    <comment ref="C9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ф.731-01</t>
        </r>
      </text>
    </comment>
    <comment ref="C9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ф.731-01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ф.325-11</t>
        </r>
      </text>
    </comment>
    <comment ref="C9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ф.731-01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ф.730-14 (ТП 557 яч.1)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ВЛ 0,4 кВ от ТП 532
Л-4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ВЛ 0,4 кВ от ТП 520
Л-5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ВЛ 0,4 кВ от ТП 545
Л-5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ф.716-05 (ПАО "Ленэнерго")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ф.483-02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ф.724-09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ПС 35 кВ Радофинниково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ф.483-02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ф.58-02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ф.225н-32 (КЛ 10 кВ РП 17 - ТП 229)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ф.225н-42 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ф.322-11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ф.322-01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ф.322-03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ф.322-03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ф.322-06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ф.322-06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ПС 514 (ПАО "Ленэнерго")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ф.354-39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ф.48-16 (РП 2 - ТП 104)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ф.144-01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ф.48-05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ф.48-05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ф.406-06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ф.406-06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ф.48-16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ф.48-08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ф.406-06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ф.36-08 (РП 5 - ТП 103)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ф.48-08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ВЛ 0,4 кВ от ТП 38
Город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ВЛ 0,4 кВ от ТП 162
Демьяновский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ф.144-02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ф.144-02</t>
        </r>
      </text>
    </comment>
  </commentList>
</comments>
</file>

<file path=xl/comments3.xml><?xml version="1.0" encoding="utf-8"?>
<comments xmlns="http://schemas.openxmlformats.org/spreadsheetml/2006/main">
  <authors>
    <author>Смирнов Андрей Валерьевич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ф.378-04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ф.393-23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ф.337-05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ф.40-12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ф.4-01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ф.4-01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РТП 18 ф.18-02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РТП 18 ф.18-01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ф.Кнг-09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ф.243-10 (ПАО "Ленэнерго")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ф.Кнг-02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ф.Кнг-01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ф.Кнг-10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ф.17-01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ф.17-03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ф.243-08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2 ф. Поселки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ф.168-25 (РП 4 яч.13)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ф.168-25 (РП 4 яч.13)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ф.168-10 (РП 3 яч.11)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ф.333-17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ф.169-101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ф.333-04 (РП 9 яч.13)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ф.169-101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ф.189-09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ф.Кк-02 (РТП 9 яч.2)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ф.218-404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ф.47-215 (ПАО "Ленэнерго")</t>
        </r>
      </text>
    </comment>
    <comment ref="C3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ф.547-01</t>
        </r>
      </text>
    </comment>
    <comment ref="C3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8495 (1)</t>
        </r>
      </text>
    </comment>
    <comment ref="C3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8495 (1)</t>
        </r>
      </text>
    </comment>
    <comment ref="C3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ф.218-305 (РТП 210 яч.9)</t>
        </r>
      </text>
    </comment>
    <comment ref="C4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ф.98-107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ф.24-60</t>
        </r>
      </text>
    </comment>
    <comment ref="C4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ф.244-06 (ПАО "Ленэнерго")</t>
        </r>
      </text>
    </comment>
    <comment ref="C4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ф.350-08 (ТГК-1)</t>
        </r>
      </text>
    </comment>
    <comment ref="C4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ф.24-60</t>
        </r>
      </text>
    </comment>
    <comment ref="C4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0,4 кВ от РТП 3351
Л-32</t>
        </r>
      </text>
    </comment>
    <comment ref="C4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0,4 кВ от РТП 001
Л-8</t>
        </r>
      </text>
    </comment>
    <comment ref="C4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147</t>
        </r>
      </text>
    </comment>
    <comment ref="C4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312 (2)</t>
        </r>
      </text>
    </comment>
    <comment ref="C5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ф.Млд-02</t>
        </r>
      </text>
    </comment>
    <comment ref="C5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ф.Млд-02</t>
        </r>
      </text>
    </comment>
    <comment ref="C5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ф.26-04</t>
        </r>
      </text>
    </comment>
    <comment ref="C5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ф.159-31 (Р-3)</t>
        </r>
      </text>
    </comment>
    <comment ref="C5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ф.К-04</t>
        </r>
      </text>
    </comment>
    <comment ref="C5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35 кВ Калининская</t>
        </r>
      </text>
    </comment>
    <comment ref="C5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ф.25-01 (ТП 16 - ТП 153)</t>
        </r>
      </text>
    </comment>
    <comment ref="C5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ф.26-09</t>
        </r>
      </text>
    </comment>
    <comment ref="C5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ф.26-11</t>
        </r>
      </text>
    </comment>
    <comment ref="C5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ф.26-10</t>
        </r>
      </text>
    </comment>
    <comment ref="C6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ф.595-309</t>
        </r>
      </text>
    </comment>
    <comment ref="C6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05460</t>
        </r>
      </text>
    </comment>
    <comment ref="C6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6
Л-5</t>
        </r>
      </text>
    </comment>
    <comment ref="C6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ф.731-02</t>
        </r>
      </text>
    </comment>
    <comment ref="C6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6
Л-5</t>
        </r>
      </text>
    </comment>
    <comment ref="C6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ф.Лдг-107 (ТП 130 яч.12)</t>
        </r>
      </text>
    </comment>
    <comment ref="C6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3426
Л-4</t>
        </r>
      </text>
    </comment>
    <comment ref="C6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ф.193-01 (КРУН 1)</t>
        </r>
      </text>
    </comment>
    <comment ref="C6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ф.382-22</t>
        </r>
      </text>
    </comment>
    <comment ref="C7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ф.193-02</t>
        </r>
      </text>
    </comment>
    <comment ref="C7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ф.517-13</t>
        </r>
      </text>
    </comment>
    <comment ref="C7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517</t>
        </r>
      </text>
    </comment>
    <comment ref="C7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ф.517-15</t>
        </r>
      </text>
    </comment>
    <comment ref="C7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ф.727-08 (ТП 10 яч.4)</t>
        </r>
      </text>
    </comment>
    <comment ref="C7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ф.727-04</t>
        </r>
      </text>
    </comment>
    <comment ref="C7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ТП 3269</t>
        </r>
      </text>
    </comment>
    <comment ref="C7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32
Л-1</t>
        </r>
      </text>
    </comment>
    <comment ref="C7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КЛ 0,4 кВ от ТП 556
Л-3</t>
        </r>
      </text>
    </comment>
    <comment ref="C7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549
Л-8</t>
        </r>
      </text>
    </comment>
    <comment ref="C8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507
Л-1</t>
        </r>
      </text>
    </comment>
    <comment ref="C8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528
Л-9</t>
        </r>
      </text>
    </comment>
    <comment ref="C8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ВЛ 0,4 кВ от ТП 522
Л-3</t>
        </r>
      </text>
    </comment>
    <comment ref="C8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ф.729-05 (ПП 0522)</t>
        </r>
      </text>
    </comment>
    <comment ref="C84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ф.729-04</t>
        </r>
      </text>
    </comment>
    <comment ref="C8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ф.539-206 (РП 4 яч.13)</t>
        </r>
      </text>
    </comment>
    <comment ref="C8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510 (1) (ЛЭ)</t>
        </r>
      </text>
    </comment>
    <comment ref="C8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ф.Рдф-01</t>
        </r>
      </text>
    </comment>
    <comment ref="C8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ф.483-28</t>
        </r>
      </text>
    </comment>
    <comment ref="C8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717 (ПАО "Ленэнерго")</t>
        </r>
      </text>
    </comment>
    <comment ref="C9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ф.750-505 (РП яч.21)</t>
        </r>
      </text>
    </comment>
    <comment ref="C9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ф.199-31</t>
        </r>
      </text>
    </comment>
    <comment ref="C9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ф.199-23</t>
        </r>
      </text>
    </comment>
    <comment ref="C93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ф.42-29</t>
        </r>
      </text>
    </comment>
    <comment ref="C95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ф.259-24</t>
        </r>
      </text>
    </comment>
    <comment ref="C96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ф.322-06</t>
        </r>
      </text>
    </comment>
    <comment ref="C97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ф.259-06</t>
        </r>
      </text>
    </comment>
    <comment ref="C98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ф.259-21</t>
        </r>
      </text>
    </comment>
    <comment ref="C99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ПС 35 кВ Дружная Горка (1)</t>
        </r>
      </text>
    </comment>
    <comment ref="C100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1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ф.48-05</t>
        </r>
      </text>
    </comment>
    <comment ref="C102" authorId="0" shapeId="0">
      <text>
        <r>
          <rPr>
            <b/>
            <sz val="9"/>
            <color indexed="81"/>
            <rFont val="Tahoma"/>
            <charset val="1"/>
          </rPr>
          <t>Смирнов Андрей Валерьевич:</t>
        </r>
        <r>
          <rPr>
            <sz val="9"/>
            <color indexed="81"/>
            <rFont val="Tahoma"/>
            <charset val="1"/>
          </rPr>
          <t xml:space="preserve">
ф.36-01 (РП 5)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ф.406-06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ф.48-22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ф.48-13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 Андрей Валерьевич: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<sst xmlns="http://schemas.openxmlformats.org/spreadsheetml/2006/main" count="1977" uniqueCount="164">
  <si>
    <t>Вид объекта</t>
  </si>
  <si>
    <t>Повреждение</t>
  </si>
  <si>
    <t>ВЛ</t>
  </si>
  <si>
    <t>Филиал</t>
  </si>
  <si>
    <t>№ п/п</t>
  </si>
  <si>
    <t>Напряжение</t>
  </si>
  <si>
    <t>кол-во</t>
  </si>
  <si>
    <t>ср</t>
  </si>
  <si>
    <t>в том числе</t>
  </si>
  <si>
    <t>0,4 кВ</t>
  </si>
  <si>
    <t>св.1000 В</t>
  </si>
  <si>
    <t>ИТОГО  по АО "ЛОЭСК"</t>
  </si>
  <si>
    <t>РЭС</t>
  </si>
  <si>
    <t>Высший класс напряжения обесточенного оборудования, кВ</t>
  </si>
  <si>
    <t>Время и дата прекращения передачи электрической энергии</t>
  </si>
  <si>
    <t>Время и дата восстановления режима потребления электрической энергии</t>
  </si>
  <si>
    <t>Продолжительность прекращения передачи электрической энергии, час.</t>
  </si>
  <si>
    <t>Проведенные мероприятия по восстановлению</t>
  </si>
  <si>
    <t>Сосновый бор</t>
  </si>
  <si>
    <t>Волосово</t>
  </si>
  <si>
    <t>Волхов</t>
  </si>
  <si>
    <t>Кириши</t>
  </si>
  <si>
    <t>Выборг</t>
  </si>
  <si>
    <t>Луга</t>
  </si>
  <si>
    <t>Кингисепп</t>
  </si>
  <si>
    <t>Сланцы</t>
  </si>
  <si>
    <t>Кировск</t>
  </si>
  <si>
    <t>Тосно</t>
  </si>
  <si>
    <t>Лодейное поле</t>
  </si>
  <si>
    <t>Подпорожье</t>
  </si>
  <si>
    <t>Пригородные ЭС</t>
  </si>
  <si>
    <t>Сертолово</t>
  </si>
  <si>
    <t>Всеволожск</t>
  </si>
  <si>
    <t>Тихвин</t>
  </si>
  <si>
    <t>Пикалево</t>
  </si>
  <si>
    <t>Бокситогорск</t>
  </si>
  <si>
    <t>КЛ</t>
  </si>
  <si>
    <t>час</t>
  </si>
  <si>
    <t>Ответственность*</t>
  </si>
  <si>
    <t>*Ставится "0" при прекращениях подачи электрической энергии, произошедших в результате технологических нарушений, отключений, переключений в сетях смежных электросетевых организаций, в сетях организаций, осуществляющих деятельность по производству и (или) передаче электрической энергии (мощности), в сетях потребителей услуг, а также по инициативе системного оператора и (или) при осуществлении в пределах охранных зон объектов электросетевого хозяйства согласованных электросетевой организацией действий в порядке, предусмотренном Правилами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утвержденными постановлением Правительства Российской Федерации от 24 февраля 2009 г. N 160 (Собрание законодательства Российской Федерации, 2009, N 10, ст. 1220; 2013, N 24, ст. 2999), равно как и в результате обстоятельств непреодолимой силы либо сверхрасчетных природно-климатических нагрузок (условий) или вследствие иных обстоятельств, исключающих ответственность электросетевой организации, как перерывы (нарушения) электроснабжения. В остальных случаях ставится "1".</t>
  </si>
  <si>
    <t>Восточные ЭС</t>
  </si>
  <si>
    <t>Северные ЭС</t>
  </si>
  <si>
    <t>Южные ЭС</t>
  </si>
  <si>
    <t>Западные ЭС</t>
  </si>
  <si>
    <t>Центральные ЭС</t>
  </si>
  <si>
    <t>Восточные электрические сети</t>
  </si>
  <si>
    <t>Западные электрические сети</t>
  </si>
  <si>
    <t>Пригородные электрические сети</t>
  </si>
  <si>
    <t>Северные электрические сети</t>
  </si>
  <si>
    <t>Центральные электрические сети</t>
  </si>
  <si>
    <t>Южные электрические сети</t>
  </si>
  <si>
    <t>Отрадное</t>
  </si>
  <si>
    <t>ПС</t>
  </si>
  <si>
    <t>ТП</t>
  </si>
  <si>
    <t>Информация по внеплановым отключениям в форме для расчета недоотпуска</t>
  </si>
  <si>
    <t>Тип объекта</t>
  </si>
  <si>
    <t>Кол-во</t>
  </si>
  <si>
    <t>Часов</t>
  </si>
  <si>
    <t>Ср</t>
  </si>
  <si>
    <t>Всего</t>
  </si>
  <si>
    <t>в эл.сетях 0,4 кВ</t>
  </si>
  <si>
    <t>всего ВЛ</t>
  </si>
  <si>
    <t>всего КЛ</t>
  </si>
  <si>
    <t>всего  ТП РУ 0,4 кВ</t>
  </si>
  <si>
    <t>в эл.сетях св.1000 В</t>
  </si>
  <si>
    <t>всего ТП РУ 6-10 кВ</t>
  </si>
  <si>
    <t>всего ПС 35/6 кВ</t>
  </si>
  <si>
    <t>ПС 110/10 кВ</t>
  </si>
  <si>
    <t>ПС 110/6 кВ</t>
  </si>
  <si>
    <t>АО "ЛОЭСК"</t>
  </si>
  <si>
    <t>Северный</t>
  </si>
  <si>
    <t>Южный</t>
  </si>
  <si>
    <t>Рощинский</t>
  </si>
  <si>
    <t>Ижорский</t>
  </si>
  <si>
    <t>Гатчина</t>
  </si>
  <si>
    <t>Оредежский</t>
  </si>
  <si>
    <t>Причина аварии</t>
  </si>
  <si>
    <t>Итого за Январь</t>
  </si>
  <si>
    <t>Итого за Февраль</t>
  </si>
  <si>
    <t>Итого за Март</t>
  </si>
  <si>
    <t>Итого за 1 квартал</t>
  </si>
  <si>
    <t>Итого за январь</t>
  </si>
  <si>
    <t>Итого за февраль</t>
  </si>
  <si>
    <t>Итого за март</t>
  </si>
  <si>
    <t xml:space="preserve">Внеплановые отключения в эл.сетях АО "ЛОЭСК" в марте 2019 г. </t>
  </si>
  <si>
    <t xml:space="preserve">Внеплановые отключения в эл.сетях АО "ЛОЭСК" в феврале 2019 г. </t>
  </si>
  <si>
    <t xml:space="preserve">Внеплановые отключения в эл.сетях АО "ЛОЭСК" в январе 2019 г. </t>
  </si>
  <si>
    <t>Внерегламентные отключения в эл.сетях АО "ЛОЭСК" за 1 квартал 2019 г. (Всего)</t>
  </si>
  <si>
    <t>Внерегламентные отключения в эл.сетях АО "ЛОЭСК" за 1 квартал 2019 г. (ответственность АО "ЛОЭСК")</t>
  </si>
  <si>
    <t>Минут</t>
  </si>
  <si>
    <t>-</t>
  </si>
  <si>
    <t>Повреждение в сетях потребителя</t>
  </si>
  <si>
    <t>Повторное включение</t>
  </si>
  <si>
    <t>Проникновение животного</t>
  </si>
  <si>
    <t>Ошибочная настройка РЗА</t>
  </si>
  <si>
    <t>Нарушение изоляции кабельной муфты</t>
  </si>
  <si>
    <t>Провод</t>
  </si>
  <si>
    <t>Кабель</t>
  </si>
  <si>
    <t>Замена муфты</t>
  </si>
  <si>
    <t>Повреждение разрядника</t>
  </si>
  <si>
    <t>Разрядник</t>
  </si>
  <si>
    <t>Замена разрядника</t>
  </si>
  <si>
    <t>Нарушение изоляции кабеля (износ)</t>
  </si>
  <si>
    <t>Ремонт кабеля</t>
  </si>
  <si>
    <t>Отключение в сетях ПАО "Ленэнерго"</t>
  </si>
  <si>
    <t>Повреждение в сетях ПАО "Ленэнерго"</t>
  </si>
  <si>
    <t>Причина не установлена</t>
  </si>
  <si>
    <t>Обрыв провода (ветер, мокрый снег)</t>
  </si>
  <si>
    <t>Ремонт ВЛ</t>
  </si>
  <si>
    <t>Ремонт КЛ</t>
  </si>
  <si>
    <t>Некачественные монтажные работы</t>
  </si>
  <si>
    <t>Схлест провода (ветер, мокрый снег)</t>
  </si>
  <si>
    <t>Ошибочные действия персонала</t>
  </si>
  <si>
    <t>Нарушение изоляции кабеля</t>
  </si>
  <si>
    <t>Несанкционированные земляные работы</t>
  </si>
  <si>
    <t>Падение дерева (ветер, мокрый снег)</t>
  </si>
  <si>
    <t>Повреждение ВН</t>
  </si>
  <si>
    <t>Повреждение изоляторов</t>
  </si>
  <si>
    <t>ВН</t>
  </si>
  <si>
    <t>Изолятор</t>
  </si>
  <si>
    <t>Ремонт ВН</t>
  </si>
  <si>
    <t>Замена изоляторов</t>
  </si>
  <si>
    <t>Повреждение изолятора</t>
  </si>
  <si>
    <t>Замена изолятора</t>
  </si>
  <si>
    <t>Падение снега с крыши дома</t>
  </si>
  <si>
    <t>Схлест проводов (ветер)</t>
  </si>
  <si>
    <t>Превышение допустимой нагрузки</t>
  </si>
  <si>
    <t>Неисправность выключателя</t>
  </si>
  <si>
    <t>Выключатель</t>
  </si>
  <si>
    <t>Ремонт выключателя</t>
  </si>
  <si>
    <t>Отключение в сетях потребителя</t>
  </si>
  <si>
    <t>Отключение в сетях "Новгородэнерго"</t>
  </si>
  <si>
    <t>Обрыв провода</t>
  </si>
  <si>
    <t>Отключение в сетях ОАО "РЖД"</t>
  </si>
  <si>
    <t>Несанкционированные работы</t>
  </si>
  <si>
    <t>Падение дерева (ветер)</t>
  </si>
  <si>
    <t>Просадка грунта</t>
  </si>
  <si>
    <t>Нарушение изоляции секции шин</t>
  </si>
  <si>
    <t>Нарушение контактного соединения</t>
  </si>
  <si>
    <t>Контакт.соед</t>
  </si>
  <si>
    <t>Ремонт ТП</t>
  </si>
  <si>
    <t>Повреждение трансфоратора</t>
  </si>
  <si>
    <t>Трансформатор</t>
  </si>
  <si>
    <t>Замена трансформатора</t>
  </si>
  <si>
    <t>Несанкционированная рубка деревьев</t>
  </si>
  <si>
    <t>Повреждение в сетях ОАО "ОЭК"</t>
  </si>
  <si>
    <t>Неотложные работы</t>
  </si>
  <si>
    <t>Падение ветки (ветер)</t>
  </si>
  <si>
    <t>Повреждение привода выключателя</t>
  </si>
  <si>
    <t>Схлест провода (ветер)</t>
  </si>
  <si>
    <t>Попадание птицы на ЛР</t>
  </si>
  <si>
    <t>Некорректная работа РЗА</t>
  </si>
  <si>
    <t>Зацеп катером проводов</t>
  </si>
  <si>
    <t>Проведение строительных работ</t>
  </si>
  <si>
    <t>Падение дерева на провода (ветер)</t>
  </si>
  <si>
    <t>Падение дерева на трансформатор (ветер)</t>
  </si>
  <si>
    <t>Повреждение СР, кабеля</t>
  </si>
  <si>
    <t>Разъединитель</t>
  </si>
  <si>
    <t>Ремонт СР</t>
  </si>
  <si>
    <t>Ремонт ЛР</t>
  </si>
  <si>
    <t>Повреждение ЛР</t>
  </si>
  <si>
    <t>Повреждение в сетях АО "Оборонэнерго"</t>
  </si>
  <si>
    <t>Повреждение в КК</t>
  </si>
  <si>
    <t>Ремонт 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</si>
</sst>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6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sz val="14"/>
      <name val="Calibri"/>
      <family val="2"/>
      <charset val="204"/>
      <scheme val="minor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2" fillId="0" borderId="0"/>
    <xf numFmtId="49" fontId="13" fillId="0" borderId="0" applyBorder="0">
      <alignment vertical="top"/>
    </xf>
    <xf numFmtId="0" fontId="12" fillId="0" borderId="0"/>
    <xf numFmtId="166" fontId="12" fillId="0" borderId="0" applyFont="0" applyFill="0" applyBorder="0" applyAlignment="0" applyProtection="0"/>
    <xf numFmtId="0" fontId="12" fillId="0" borderId="0"/>
  </cellStyleXfs>
  <cellXfs count="429">
    <xf numFmtId="0" fontId="0" fillId="0" borderId="0" xfId="0"/>
    <xf numFmtId="0" fontId="0" fillId="0" borderId="0" xfId="0" applyFont="1" applyFill="1"/>
    <xf numFmtId="2" fontId="0" fillId="0" borderId="0" xfId="0" applyNumberFormat="1" applyFont="1"/>
    <xf numFmtId="2" fontId="0" fillId="0" borderId="0" xfId="0" applyNumberFormat="1" applyFont="1" applyFill="1"/>
    <xf numFmtId="0" fontId="0" fillId="0" borderId="0" xfId="0" applyFont="1"/>
    <xf numFmtId="49" fontId="6" fillId="2" borderId="30" xfId="0" applyNumberFormat="1" applyFont="1" applyFill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0" fillId="0" borderId="0" xfId="0" applyFill="1"/>
    <xf numFmtId="1" fontId="7" fillId="0" borderId="10" xfId="0" applyNumberFormat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vertical="center" wrapText="1"/>
    </xf>
    <xf numFmtId="1" fontId="7" fillId="0" borderId="4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2" fontId="9" fillId="3" borderId="3" xfId="0" applyNumberFormat="1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2" fontId="9" fillId="3" borderId="6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/>
    <xf numFmtId="0" fontId="0" fillId="0" borderId="47" xfId="0" applyBorder="1"/>
    <xf numFmtId="0" fontId="0" fillId="4" borderId="43" xfId="0" applyFill="1" applyBorder="1" applyAlignment="1">
      <alignment horizontal="center"/>
    </xf>
    <xf numFmtId="164" fontId="0" fillId="4" borderId="43" xfId="0" applyNumberFormat="1" applyFill="1" applyBorder="1" applyAlignment="1">
      <alignment horizontal="center"/>
    </xf>
    <xf numFmtId="2" fontId="0" fillId="4" borderId="43" xfId="0" applyNumberFormat="1" applyFill="1" applyBorder="1" applyAlignment="1">
      <alignment horizont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45" xfId="0" applyFill="1" applyBorder="1"/>
    <xf numFmtId="0" fontId="0" fillId="4" borderId="42" xfId="0" applyFill="1" applyBorder="1" applyAlignment="1">
      <alignment horizontal="center"/>
    </xf>
    <xf numFmtId="164" fontId="0" fillId="4" borderId="42" xfId="0" applyNumberFormat="1" applyFill="1" applyBorder="1" applyAlignment="1">
      <alignment horizontal="center"/>
    </xf>
    <xf numFmtId="2" fontId="0" fillId="4" borderId="42" xfId="0" applyNumberFormat="1" applyFill="1" applyBorder="1" applyAlignment="1">
      <alignment horizontal="center"/>
    </xf>
    <xf numFmtId="0" fontId="0" fillId="4" borderId="42" xfId="0" applyFill="1" applyBorder="1" applyAlignment="1">
      <alignment horizontal="center" vertical="center"/>
    </xf>
    <xf numFmtId="0" fontId="0" fillId="4" borderId="48" xfId="0" applyFill="1" applyBorder="1"/>
    <xf numFmtId="0" fontId="0" fillId="4" borderId="11" xfId="0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47" xfId="0" applyFill="1" applyBorder="1"/>
    <xf numFmtId="0" fontId="0" fillId="4" borderId="5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46" xfId="0" applyFill="1" applyBorder="1"/>
    <xf numFmtId="2" fontId="7" fillId="0" borderId="1" xfId="0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vertical="center" wrapText="1"/>
    </xf>
    <xf numFmtId="0" fontId="0" fillId="2" borderId="0" xfId="0" applyFill="1"/>
    <xf numFmtId="49" fontId="6" fillId="2" borderId="2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9" fillId="3" borderId="33" xfId="0" applyFont="1" applyFill="1" applyBorder="1" applyAlignment="1">
      <alignment horizontal="right" vertical="center" wrapText="1"/>
    </xf>
    <xf numFmtId="0" fontId="2" fillId="3" borderId="34" xfId="0" applyFont="1" applyFill="1" applyBorder="1" applyAlignment="1">
      <alignment horizontal="right" vertical="center" wrapText="1"/>
    </xf>
    <xf numFmtId="0" fontId="2" fillId="3" borderId="36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2" fontId="7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45" xfId="0" applyFill="1" applyBorder="1"/>
    <xf numFmtId="2" fontId="7" fillId="0" borderId="1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0" fontId="0" fillId="0" borderId="46" xfId="0" applyFill="1" applyBorder="1"/>
    <xf numFmtId="0" fontId="0" fillId="0" borderId="47" xfId="0" applyFill="1" applyBorder="1"/>
    <xf numFmtId="2" fontId="11" fillId="0" borderId="12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164" fontId="0" fillId="4" borderId="5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/>
    <xf numFmtId="2" fontId="9" fillId="0" borderId="17" xfId="0" applyNumberFormat="1" applyFont="1" applyFill="1" applyBorder="1" applyAlignment="1">
      <alignment vertical="center" wrapText="1"/>
    </xf>
    <xf numFmtId="2" fontId="9" fillId="0" borderId="18" xfId="0" applyNumberFormat="1" applyFont="1" applyFill="1" applyBorder="1" applyAlignment="1">
      <alignment vertical="center" wrapText="1"/>
    </xf>
    <xf numFmtId="1" fontId="8" fillId="0" borderId="32" xfId="0" applyNumberFormat="1" applyFont="1" applyFill="1" applyBorder="1" applyAlignment="1">
      <alignment vertical="center" wrapText="1"/>
    </xf>
    <xf numFmtId="1" fontId="9" fillId="0" borderId="35" xfId="0" applyNumberFormat="1" applyFont="1" applyFill="1" applyBorder="1" applyAlignment="1">
      <alignment vertical="center" wrapText="1"/>
    </xf>
    <xf numFmtId="49" fontId="6" fillId="2" borderId="30" xfId="0" applyNumberFormat="1" applyFont="1" applyFill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right" vertical="center" wrapText="1"/>
    </xf>
    <xf numFmtId="1" fontId="9" fillId="0" borderId="39" xfId="0" applyNumberFormat="1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50" xfId="0" applyFill="1" applyBorder="1" applyAlignment="1"/>
    <xf numFmtId="1" fontId="3" fillId="3" borderId="10" xfId="0" applyNumberFormat="1" applyFont="1" applyFill="1" applyBorder="1" applyAlignment="1">
      <alignment vertical="center" wrapText="1"/>
    </xf>
    <xf numFmtId="2" fontId="3" fillId="3" borderId="11" xfId="0" applyNumberFormat="1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vertical="center" wrapText="1"/>
    </xf>
    <xf numFmtId="2" fontId="9" fillId="3" borderId="12" xfId="0" applyNumberFormat="1" applyFont="1" applyFill="1" applyBorder="1" applyAlignment="1">
      <alignment vertical="center" wrapText="1"/>
    </xf>
    <xf numFmtId="2" fontId="3" fillId="3" borderId="12" xfId="0" applyNumberFormat="1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vertical="center" wrapText="1"/>
    </xf>
    <xf numFmtId="1" fontId="7" fillId="5" borderId="10" xfId="0" applyNumberFormat="1" applyFont="1" applyFill="1" applyBorder="1" applyAlignment="1">
      <alignment vertical="center" wrapText="1"/>
    </xf>
    <xf numFmtId="2" fontId="7" fillId="5" borderId="11" xfId="0" applyNumberFormat="1" applyFont="1" applyFill="1" applyBorder="1" applyAlignment="1">
      <alignment vertical="center" wrapText="1"/>
    </xf>
    <xf numFmtId="2" fontId="7" fillId="5" borderId="12" xfId="0" applyNumberFormat="1" applyFont="1" applyFill="1" applyBorder="1" applyAlignment="1">
      <alignment vertical="center" wrapText="1"/>
    </xf>
    <xf numFmtId="1" fontId="7" fillId="5" borderId="2" xfId="0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vertical="center" wrapText="1"/>
    </xf>
    <xf numFmtId="2" fontId="7" fillId="5" borderId="3" xfId="0" applyNumberFormat="1" applyFont="1" applyFill="1" applyBorder="1" applyAlignment="1">
      <alignment vertical="center" wrapText="1"/>
    </xf>
    <xf numFmtId="1" fontId="7" fillId="5" borderId="4" xfId="0" applyNumberFormat="1" applyFont="1" applyFill="1" applyBorder="1" applyAlignment="1">
      <alignment vertical="center" wrapText="1"/>
    </xf>
    <xf numFmtId="2" fontId="7" fillId="5" borderId="5" xfId="0" applyNumberFormat="1" applyFont="1" applyFill="1" applyBorder="1" applyAlignment="1">
      <alignment vertical="center" wrapText="1"/>
    </xf>
    <xf numFmtId="2" fontId="7" fillId="5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1" fontId="8" fillId="5" borderId="32" xfId="0" applyNumberFormat="1" applyFont="1" applyFill="1" applyBorder="1" applyAlignment="1">
      <alignment vertical="center" wrapText="1"/>
    </xf>
    <xf numFmtId="2" fontId="8" fillId="5" borderId="11" xfId="0" applyNumberFormat="1" applyFont="1" applyFill="1" applyBorder="1" applyAlignment="1">
      <alignment vertical="center" wrapText="1"/>
    </xf>
    <xf numFmtId="2" fontId="11" fillId="5" borderId="12" xfId="0" applyNumberFormat="1" applyFont="1" applyFill="1" applyBorder="1" applyAlignment="1">
      <alignment vertical="center" wrapText="1"/>
    </xf>
    <xf numFmtId="1" fontId="9" fillId="5" borderId="35" xfId="0" applyNumberFormat="1" applyFont="1" applyFill="1" applyBorder="1" applyAlignment="1">
      <alignment vertical="center" wrapText="1"/>
    </xf>
    <xf numFmtId="2" fontId="9" fillId="5" borderId="1" xfId="0" applyNumberFormat="1" applyFont="1" applyFill="1" applyBorder="1" applyAlignment="1">
      <alignment vertical="center" wrapText="1"/>
    </xf>
    <xf numFmtId="2" fontId="9" fillId="5" borderId="3" xfId="0" applyNumberFormat="1" applyFont="1" applyFill="1" applyBorder="1" applyAlignment="1">
      <alignment vertical="center" wrapText="1"/>
    </xf>
    <xf numFmtId="1" fontId="9" fillId="5" borderId="39" xfId="0" applyNumberFormat="1" applyFont="1" applyFill="1" applyBorder="1" applyAlignment="1">
      <alignment vertical="center" wrapText="1"/>
    </xf>
    <xf numFmtId="2" fontId="9" fillId="5" borderId="17" xfId="0" applyNumberFormat="1" applyFont="1" applyFill="1" applyBorder="1" applyAlignment="1">
      <alignment vertical="center" wrapText="1"/>
    </xf>
    <xf numFmtId="2" fontId="9" fillId="5" borderId="18" xfId="0" applyNumberFormat="1" applyFont="1" applyFill="1" applyBorder="1" applyAlignment="1">
      <alignment vertical="center" wrapText="1"/>
    </xf>
    <xf numFmtId="1" fontId="7" fillId="5" borderId="10" xfId="0" applyNumberFormat="1" applyFont="1" applyFill="1" applyBorder="1" applyAlignment="1">
      <alignment vertical="center"/>
    </xf>
    <xf numFmtId="2" fontId="7" fillId="5" borderId="11" xfId="0" applyNumberFormat="1" applyFont="1" applyFill="1" applyBorder="1" applyAlignment="1">
      <alignment vertical="center"/>
    </xf>
    <xf numFmtId="1" fontId="7" fillId="5" borderId="2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vertical="center"/>
    </xf>
    <xf numFmtId="1" fontId="7" fillId="5" borderId="4" xfId="0" applyNumberFormat="1" applyFont="1" applyFill="1" applyBorder="1" applyAlignment="1">
      <alignment vertical="center"/>
    </xf>
    <xf numFmtId="2" fontId="7" fillId="5" borderId="5" xfId="0" applyNumberFormat="1" applyFont="1" applyFill="1" applyBorder="1" applyAlignment="1">
      <alignment vertical="center"/>
    </xf>
    <xf numFmtId="0" fontId="0" fillId="0" borderId="54" xfId="0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0" fontId="0" fillId="0" borderId="54" xfId="0" applyFill="1" applyBorder="1"/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/>
    <xf numFmtId="0" fontId="0" fillId="0" borderId="0" xfId="0" applyAlignment="1">
      <alignment horizontal="left"/>
    </xf>
    <xf numFmtId="1" fontId="0" fillId="0" borderId="0" xfId="0" applyNumberFormat="1"/>
    <xf numFmtId="2" fontId="0" fillId="0" borderId="0" xfId="0" applyNumberFormat="1"/>
    <xf numFmtId="1" fontId="0" fillId="6" borderId="62" xfId="0" applyNumberFormat="1" applyFill="1" applyBorder="1" applyAlignment="1">
      <alignment horizontal="center" vertical="center"/>
    </xf>
    <xf numFmtId="2" fontId="0" fillId="6" borderId="56" xfId="0" applyNumberFormat="1" applyFill="1" applyBorder="1" applyAlignment="1">
      <alignment horizontal="center" vertical="center"/>
    </xf>
    <xf numFmtId="2" fontId="0" fillId="6" borderId="79" xfId="0" applyNumberFormat="1" applyFill="1" applyBorder="1" applyAlignment="1">
      <alignment horizontal="center" vertical="center"/>
    </xf>
    <xf numFmtId="1" fontId="0" fillId="6" borderId="59" xfId="0" applyNumberFormat="1" applyFill="1" applyBorder="1" applyAlignment="1">
      <alignment horizontal="center" vertical="center"/>
    </xf>
    <xf numFmtId="2" fontId="0" fillId="6" borderId="80" xfId="0" applyNumberFormat="1" applyFill="1" applyBorder="1" applyAlignment="1">
      <alignment horizontal="center" vertical="center"/>
    </xf>
    <xf numFmtId="0" fontId="0" fillId="8" borderId="49" xfId="0" applyFill="1" applyBorder="1" applyAlignment="1">
      <alignment horizontal="left" vertical="center"/>
    </xf>
    <xf numFmtId="1" fontId="0" fillId="8" borderId="40" xfId="0" applyNumberFormat="1" applyFill="1" applyBorder="1" applyAlignment="1">
      <alignment horizontal="center" vertical="center"/>
    </xf>
    <xf numFmtId="2" fontId="0" fillId="8" borderId="8" xfId="0" applyNumberFormat="1" applyFill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  <xf numFmtId="2" fontId="0" fillId="8" borderId="31" xfId="0" applyNumberFormat="1" applyFill="1" applyBorder="1" applyAlignment="1">
      <alignment horizontal="center" vertical="center"/>
    </xf>
    <xf numFmtId="0" fontId="0" fillId="9" borderId="45" xfId="0" applyFill="1" applyBorder="1" applyAlignment="1">
      <alignment horizontal="left" vertical="center"/>
    </xf>
    <xf numFmtId="1" fontId="0" fillId="9" borderId="35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2" fontId="0" fillId="9" borderId="34" xfId="0" applyNumberFormat="1" applyFill="1" applyBorder="1" applyAlignment="1">
      <alignment horizontal="center" vertical="center"/>
    </xf>
    <xf numFmtId="1" fontId="0" fillId="9" borderId="83" xfId="0" applyNumberFormat="1" applyFill="1" applyBorder="1" applyAlignment="1">
      <alignment horizontal="center" vertical="center"/>
    </xf>
    <xf numFmtId="2" fontId="0" fillId="9" borderId="45" xfId="0" applyNumberFormat="1" applyFill="1" applyBorder="1" applyAlignment="1">
      <alignment horizontal="center" vertical="center"/>
    </xf>
    <xf numFmtId="0" fontId="0" fillId="7" borderId="45" xfId="0" applyFill="1" applyBorder="1" applyAlignment="1">
      <alignment horizontal="left" vertical="center"/>
    </xf>
    <xf numFmtId="1" fontId="0" fillId="7" borderId="35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2" fontId="0" fillId="7" borderId="34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" fontId="0" fillId="7" borderId="83" xfId="0" applyNumberFormat="1" applyFill="1" applyBorder="1" applyAlignment="1">
      <alignment horizontal="center" vertical="center"/>
    </xf>
    <xf numFmtId="2" fontId="0" fillId="7" borderId="45" xfId="0" applyNumberFormat="1" applyFill="1" applyBorder="1" applyAlignment="1">
      <alignment horizontal="center" vertical="center"/>
    </xf>
    <xf numFmtId="0" fontId="14" fillId="0" borderId="0" xfId="0" applyFont="1"/>
    <xf numFmtId="0" fontId="0" fillId="7" borderId="46" xfId="0" applyFill="1" applyBorder="1" applyAlignment="1">
      <alignment horizontal="left" vertical="center"/>
    </xf>
    <xf numFmtId="1" fontId="0" fillId="7" borderId="37" xfId="0" applyNumberFormat="1" applyFill="1" applyBorder="1" applyAlignment="1">
      <alignment horizontal="center" vertical="center"/>
    </xf>
    <xf numFmtId="2" fontId="0" fillId="7" borderId="5" xfId="0" applyNumberFormat="1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/>
    </xf>
    <xf numFmtId="2" fontId="0" fillId="7" borderId="36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0" fontId="0" fillId="8" borderId="47" xfId="0" applyFill="1" applyBorder="1" applyAlignment="1">
      <alignment horizontal="left" vertical="center"/>
    </xf>
    <xf numFmtId="2" fontId="0" fillId="8" borderId="11" xfId="0" applyNumberFormat="1" applyFill="1" applyBorder="1" applyAlignment="1">
      <alignment horizontal="center" vertical="center"/>
    </xf>
    <xf numFmtId="1" fontId="0" fillId="8" borderId="85" xfId="0" applyNumberFormat="1" applyFill="1" applyBorder="1" applyAlignment="1">
      <alignment horizontal="center" vertical="center"/>
    </xf>
    <xf numFmtId="2" fontId="0" fillId="8" borderId="47" xfId="0" applyNumberFormat="1" applyFill="1" applyBorder="1" applyAlignment="1">
      <alignment horizontal="center" vertical="center"/>
    </xf>
    <xf numFmtId="0" fontId="0" fillId="7" borderId="48" xfId="0" applyFill="1" applyBorder="1" applyAlignment="1">
      <alignment horizontal="left" vertical="center"/>
    </xf>
    <xf numFmtId="1" fontId="0" fillId="7" borderId="41" xfId="0" applyNumberFormat="1" applyFill="1" applyBorder="1" applyAlignment="1">
      <alignment horizontal="center" vertical="center"/>
    </xf>
    <xf numFmtId="2" fontId="0" fillId="7" borderId="42" xfId="0" applyNumberFormat="1" applyFill="1" applyBorder="1" applyAlignment="1">
      <alignment horizontal="center" vertical="center"/>
    </xf>
    <xf numFmtId="2" fontId="0" fillId="7" borderId="87" xfId="0" applyNumberFormat="1" applyFill="1" applyBorder="1" applyAlignment="1">
      <alignment horizontal="center" vertical="center"/>
    </xf>
    <xf numFmtId="2" fontId="0" fillId="7" borderId="88" xfId="0" applyNumberFormat="1" applyFill="1" applyBorder="1" applyAlignment="1">
      <alignment horizontal="center" vertical="center"/>
    </xf>
    <xf numFmtId="1" fontId="0" fillId="7" borderId="51" xfId="0" applyNumberFormat="1" applyFill="1" applyBorder="1" applyAlignment="1">
      <alignment horizontal="center" vertical="center"/>
    </xf>
    <xf numFmtId="1" fontId="0" fillId="7" borderId="86" xfId="0" applyNumberFormat="1" applyFill="1" applyBorder="1" applyAlignment="1">
      <alignment horizontal="center" vertical="center"/>
    </xf>
    <xf numFmtId="2" fontId="0" fillId="7" borderId="48" xfId="0" applyNumberFormat="1" applyFill="1" applyBorder="1" applyAlignment="1">
      <alignment horizontal="center" vertical="center"/>
    </xf>
    <xf numFmtId="1" fontId="0" fillId="8" borderId="81" xfId="0" applyNumberFormat="1" applyFill="1" applyBorder="1" applyAlignment="1">
      <alignment horizontal="center" vertical="center"/>
    </xf>
    <xf numFmtId="2" fontId="0" fillId="8" borderId="49" xfId="0" applyNumberFormat="1" applyFill="1" applyBorder="1" applyAlignment="1">
      <alignment horizontal="center" vertical="center"/>
    </xf>
    <xf numFmtId="0" fontId="0" fillId="8" borderId="89" xfId="0" applyFill="1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7" borderId="34" xfId="0" applyFill="1" applyBorder="1" applyAlignment="1">
      <alignment horizontal="left" vertical="center"/>
    </xf>
    <xf numFmtId="0" fontId="0" fillId="7" borderId="88" xfId="0" applyFill="1" applyBorder="1" applyAlignment="1">
      <alignment horizontal="left" vertical="center"/>
    </xf>
    <xf numFmtId="1" fontId="0" fillId="6" borderId="90" xfId="0" applyNumberFormat="1" applyFill="1" applyBorder="1" applyAlignment="1">
      <alignment horizontal="center" vertical="center"/>
    </xf>
    <xf numFmtId="2" fontId="0" fillId="6" borderId="57" xfId="0" applyNumberFormat="1" applyFill="1" applyBorder="1" applyAlignment="1">
      <alignment horizontal="center" vertical="center"/>
    </xf>
    <xf numFmtId="2" fontId="0" fillId="7" borderId="17" xfId="0" applyNumberFormat="1" applyFill="1" applyBorder="1" applyAlignment="1">
      <alignment horizontal="center" vertical="center"/>
    </xf>
    <xf numFmtId="1" fontId="0" fillId="7" borderId="93" xfId="0" applyNumberFormat="1" applyFill="1" applyBorder="1" applyAlignment="1">
      <alignment horizontal="center" vertical="center"/>
    </xf>
    <xf numFmtId="2" fontId="0" fillId="7" borderId="61" xfId="0" applyNumberFormat="1" applyFill="1" applyBorder="1" applyAlignment="1">
      <alignment horizontal="center" vertical="center"/>
    </xf>
    <xf numFmtId="0" fontId="0" fillId="4" borderId="94" xfId="0" applyFill="1" applyBorder="1" applyAlignment="1">
      <alignment horizontal="center"/>
    </xf>
    <xf numFmtId="164" fontId="0" fillId="4" borderId="94" xfId="0" applyNumberFormat="1" applyFill="1" applyBorder="1" applyAlignment="1">
      <alignment horizontal="center"/>
    </xf>
    <xf numFmtId="2" fontId="0" fillId="4" borderId="94" xfId="0" applyNumberFormat="1" applyFill="1" applyBorder="1" applyAlignment="1">
      <alignment horizontal="center"/>
    </xf>
    <xf numFmtId="0" fontId="0" fillId="4" borderId="94" xfId="0" applyFill="1" applyBorder="1" applyAlignment="1">
      <alignment horizontal="center" vertical="center"/>
    </xf>
    <xf numFmtId="0" fontId="0" fillId="4" borderId="95" xfId="0" applyFill="1" applyBorder="1"/>
    <xf numFmtId="164" fontId="15" fillId="4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6" xfId="0" applyBorder="1"/>
    <xf numFmtId="164" fontId="0" fillId="0" borderId="43" xfId="0" applyNumberFormat="1" applyFill="1" applyBorder="1" applyAlignment="1">
      <alignment horizontal="center"/>
    </xf>
    <xf numFmtId="0" fontId="0" fillId="0" borderId="44" xfId="0" applyFill="1" applyBorder="1"/>
    <xf numFmtId="164" fontId="15" fillId="4" borderId="11" xfId="0" applyNumberFormat="1" applyFont="1" applyFill="1" applyBorder="1" applyAlignment="1">
      <alignment horizontal="center"/>
    </xf>
    <xf numFmtId="164" fontId="15" fillId="4" borderId="5" xfId="0" applyNumberFormat="1" applyFon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164" fontId="0" fillId="4" borderId="54" xfId="0" applyNumberFormat="1" applyFill="1" applyBorder="1" applyAlignment="1">
      <alignment horizontal="center"/>
    </xf>
    <xf numFmtId="2" fontId="0" fillId="4" borderId="54" xfId="0" applyNumberFormat="1" applyFill="1" applyBorder="1" applyAlignment="1">
      <alignment horizontal="center"/>
    </xf>
    <xf numFmtId="0" fontId="0" fillId="4" borderId="54" xfId="0" applyFill="1" applyBorder="1" applyAlignment="1">
      <alignment horizontal="center" vertical="center"/>
    </xf>
    <xf numFmtId="0" fontId="0" fillId="4" borderId="67" xfId="0" applyFill="1" applyBorder="1"/>
    <xf numFmtId="164" fontId="0" fillId="4" borderId="11" xfId="0" applyNumberFormat="1" applyFont="1" applyFill="1" applyBorder="1" applyAlignment="1">
      <alignment horizontal="center"/>
    </xf>
    <xf numFmtId="164" fontId="0" fillId="4" borderId="4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5" xfId="0" applyBorder="1"/>
    <xf numFmtId="0" fontId="0" fillId="0" borderId="94" xfId="0" applyFill="1" applyBorder="1" applyAlignment="1">
      <alignment horizontal="center"/>
    </xf>
    <xf numFmtId="164" fontId="0" fillId="0" borderId="94" xfId="0" applyNumberFormat="1" applyFill="1" applyBorder="1" applyAlignment="1">
      <alignment horizontal="center"/>
    </xf>
    <xf numFmtId="2" fontId="0" fillId="0" borderId="94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8" xfId="0" applyBorder="1"/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0" borderId="43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0" fillId="10" borderId="1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0" borderId="54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0" fillId="10" borderId="42" xfId="0" applyFill="1" applyBorder="1" applyAlignment="1">
      <alignment horizontal="left" vertical="center"/>
    </xf>
    <xf numFmtId="0" fontId="0" fillId="10" borderId="4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left" vertical="center"/>
    </xf>
    <xf numFmtId="0" fontId="0" fillId="0" borderId="98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10" borderId="45" xfId="0" applyFill="1" applyBorder="1"/>
    <xf numFmtId="0" fontId="0" fillId="0" borderId="0" xfId="0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0" fontId="0" fillId="4" borderId="43" xfId="0" applyFill="1" applyBorder="1" applyAlignment="1">
      <alignment horizontal="left" vertical="center"/>
    </xf>
    <xf numFmtId="0" fontId="0" fillId="4" borderId="94" xfId="0" applyFill="1" applyBorder="1" applyAlignment="1">
      <alignment horizontal="left" vertical="center"/>
    </xf>
    <xf numFmtId="0" fontId="0" fillId="10" borderId="48" xfId="0" applyFill="1" applyBorder="1"/>
    <xf numFmtId="0" fontId="0" fillId="0" borderId="94" xfId="0" applyFill="1" applyBorder="1" applyAlignment="1">
      <alignment horizontal="left" vertical="center"/>
    </xf>
    <xf numFmtId="0" fontId="0" fillId="4" borderId="54" xfId="0" applyFill="1" applyBorder="1" applyAlignment="1">
      <alignment horizontal="left" vertical="center"/>
    </xf>
    <xf numFmtId="0" fontId="0" fillId="10" borderId="43" xfId="0" applyFill="1" applyBorder="1" applyAlignment="1">
      <alignment horizontal="left" vertical="center"/>
    </xf>
    <xf numFmtId="0" fontId="0" fillId="0" borderId="94" xfId="0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10" borderId="46" xfId="0" applyFill="1" applyBorder="1"/>
    <xf numFmtId="164" fontId="15" fillId="4" borderId="43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4" borderId="5" xfId="0" applyFill="1" applyBorder="1"/>
    <xf numFmtId="0" fontId="0" fillId="0" borderId="0" xfId="0" applyAlignment="1">
      <alignment horizontal="center"/>
    </xf>
    <xf numFmtId="1" fontId="0" fillId="6" borderId="10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0" fillId="6" borderId="60" xfId="0" applyNumberFormat="1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164" fontId="0" fillId="0" borderId="54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0" fontId="0" fillId="0" borderId="71" xfId="0" applyFill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76" xfId="0" applyBorder="1"/>
    <xf numFmtId="0" fontId="0" fillId="0" borderId="67" xfId="0" applyBorder="1"/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/>
    <xf numFmtId="164" fontId="15" fillId="4" borderId="42" xfId="0" applyNumberFormat="1" applyFont="1" applyFill="1" applyBorder="1" applyAlignment="1">
      <alignment horizontal="center"/>
    </xf>
    <xf numFmtId="0" fontId="0" fillId="10" borderId="54" xfId="0" applyFill="1" applyBorder="1" applyAlignment="1">
      <alignment horizontal="left" vertical="center"/>
    </xf>
    <xf numFmtId="0" fontId="0" fillId="4" borderId="53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/>
    </xf>
    <xf numFmtId="164" fontId="0" fillId="4" borderId="71" xfId="0" applyNumberFormat="1" applyFill="1" applyBorder="1" applyAlignment="1">
      <alignment horizontal="center"/>
    </xf>
    <xf numFmtId="2" fontId="0" fillId="4" borderId="71" xfId="0" applyNumberFormat="1" applyFill="1" applyBorder="1" applyAlignment="1">
      <alignment horizontal="center"/>
    </xf>
    <xf numFmtId="0" fontId="0" fillId="4" borderId="71" xfId="0" applyFill="1" applyBorder="1" applyAlignment="1">
      <alignment horizontal="left" vertical="center"/>
    </xf>
    <xf numFmtId="0" fontId="0" fillId="4" borderId="71" xfId="0" applyFill="1" applyBorder="1" applyAlignment="1">
      <alignment horizontal="center" vertical="center"/>
    </xf>
    <xf numFmtId="0" fontId="0" fillId="4" borderId="76" xfId="0" applyFill="1" applyBorder="1"/>
    <xf numFmtId="0" fontId="0" fillId="4" borderId="98" xfId="0" applyFill="1" applyBorder="1" applyAlignment="1">
      <alignment horizontal="center" vertical="center" wrapText="1"/>
    </xf>
    <xf numFmtId="164" fontId="0" fillId="4" borderId="42" xfId="0" applyNumberFormat="1" applyFont="1" applyFill="1" applyBorder="1" applyAlignment="1">
      <alignment horizontal="center"/>
    </xf>
    <xf numFmtId="0" fontId="0" fillId="4" borderId="54" xfId="0" applyFill="1" applyBorder="1"/>
    <xf numFmtId="0" fontId="0" fillId="4" borderId="98" xfId="0" applyFill="1" applyBorder="1" applyAlignment="1">
      <alignment horizontal="center" vertical="center"/>
    </xf>
    <xf numFmtId="1" fontId="0" fillId="6" borderId="75" xfId="0" applyNumberFormat="1" applyFill="1" applyBorder="1" applyAlignment="1">
      <alignment horizontal="center"/>
    </xf>
    <xf numFmtId="1" fontId="0" fillId="6" borderId="71" xfId="0" applyNumberFormat="1" applyFill="1" applyBorder="1" applyAlignment="1">
      <alignment horizontal="center"/>
    </xf>
    <xf numFmtId="1" fontId="0" fillId="6" borderId="76" xfId="0" applyNumberFormat="1" applyFill="1" applyBorder="1" applyAlignment="1">
      <alignment horizontal="center"/>
    </xf>
    <xf numFmtId="0" fontId="0" fillId="6" borderId="68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1" fontId="0" fillId="6" borderId="70" xfId="0" applyNumberFormat="1" applyFill="1" applyBorder="1" applyAlignment="1">
      <alignment horizontal="center"/>
    </xf>
    <xf numFmtId="1" fontId="0" fillId="6" borderId="72" xfId="0" applyNumberFormat="1" applyFill="1" applyBorder="1" applyAlignment="1">
      <alignment horizontal="center"/>
    </xf>
    <xf numFmtId="1" fontId="0" fillId="6" borderId="73" xfId="0" applyNumberFormat="1" applyFill="1" applyBorder="1" applyAlignment="1">
      <alignment horizontal="center"/>
    </xf>
    <xf numFmtId="1" fontId="0" fillId="6" borderId="74" xfId="0" applyNumberFormat="1" applyFill="1" applyBorder="1" applyAlignment="1">
      <alignment horizontal="center"/>
    </xf>
    <xf numFmtId="0" fontId="2" fillId="7" borderId="81" xfId="0" applyFont="1" applyFill="1" applyBorder="1" applyAlignment="1">
      <alignment horizontal="center" vertical="center" wrapText="1"/>
    </xf>
    <xf numFmtId="0" fontId="2" fillId="7" borderId="83" xfId="0" applyFont="1" applyFill="1" applyBorder="1" applyAlignment="1">
      <alignment horizontal="center" vertical="center" wrapText="1"/>
    </xf>
    <xf numFmtId="0" fontId="2" fillId="7" borderId="84" xfId="0" applyFont="1" applyFill="1" applyBorder="1" applyAlignment="1">
      <alignment horizontal="center" vertical="center" wrapText="1"/>
    </xf>
    <xf numFmtId="0" fontId="2" fillId="7" borderId="85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2" fillId="7" borderId="82" xfId="0" applyFont="1" applyFill="1" applyBorder="1" applyAlignment="1">
      <alignment horizontal="center" vertical="center" wrapText="1"/>
    </xf>
    <xf numFmtId="0" fontId="0" fillId="6" borderId="91" xfId="0" applyFill="1" applyBorder="1" applyAlignment="1">
      <alignment horizontal="center" vertical="center"/>
    </xf>
    <xf numFmtId="0" fontId="0" fillId="6" borderId="92" xfId="0" applyFill="1" applyBorder="1" applyAlignment="1">
      <alignment horizontal="center" vertical="center"/>
    </xf>
    <xf numFmtId="0" fontId="0" fillId="4" borderId="99" xfId="0" applyFill="1" applyBorder="1" applyAlignment="1">
      <alignment horizontal="center" vertical="center"/>
    </xf>
    <xf numFmtId="0" fontId="0" fillId="4" borderId="96" xfId="0" applyFill="1" applyBorder="1" applyAlignment="1">
      <alignment horizontal="center" vertical="center"/>
    </xf>
    <xf numFmtId="0" fontId="0" fillId="4" borderId="97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99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100" xfId="0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01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 2" xfId="3"/>
    <cellStyle name="Обычный 2" xfId="2"/>
    <cellStyle name="Обычный 3" xfId="1"/>
    <cellStyle name="Обычный 4" xfId="5"/>
    <cellStyle name="Финансовый 2" xfId="4"/>
  </cellStyles>
  <dxfs count="0"/>
  <tableStyles count="0" defaultTableStyle="TableStyleMedium2" defaultPivotStyle="PivotStyleLight16"/>
  <colors>
    <mruColors>
      <color rgb="FFFFCC00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6"/>
  <sheetViews>
    <sheetView topLeftCell="A69" workbookViewId="0">
      <selection activeCell="D3" sqref="D3"/>
    </sheetView>
  </sheetViews>
  <sheetFormatPr defaultRowHeight="15" x14ac:dyDescent="0.25"/>
  <cols>
    <col min="3" max="3" width="18" customWidth="1"/>
    <col min="4" max="4" width="35.42578125" style="187" customWidth="1"/>
    <col min="5" max="5" width="9.140625" style="188"/>
    <col min="6" max="7" width="9.140625" style="189"/>
    <col min="8" max="8" width="9.140625" style="188"/>
    <col min="9" max="10" width="9.140625" style="189"/>
    <col min="11" max="11" width="9.140625" style="188"/>
    <col min="12" max="13" width="9.140625" style="189"/>
    <col min="14" max="14" width="9.140625" style="188"/>
    <col min="15" max="16" width="9.140625" style="189"/>
  </cols>
  <sheetData>
    <row r="1" spans="1:16" x14ac:dyDescent="0.25">
      <c r="A1" s="92"/>
    </row>
    <row r="2" spans="1:16" x14ac:dyDescent="0.25">
      <c r="A2" s="92"/>
    </row>
    <row r="3" spans="1:16" x14ac:dyDescent="0.25">
      <c r="A3" s="92"/>
      <c r="F3" s="189" t="s">
        <v>54</v>
      </c>
    </row>
    <row r="4" spans="1:16" ht="15.75" thickBot="1" x14ac:dyDescent="0.3">
      <c r="A4" s="92"/>
    </row>
    <row r="5" spans="1:16" ht="16.5" thickTop="1" thickBot="1" x14ac:dyDescent="0.3">
      <c r="A5" s="92"/>
      <c r="C5" s="353" t="s">
        <v>3</v>
      </c>
      <c r="D5" s="355" t="s">
        <v>55</v>
      </c>
      <c r="E5" s="357" t="s">
        <v>81</v>
      </c>
      <c r="F5" s="351"/>
      <c r="G5" s="358"/>
      <c r="H5" s="359" t="s">
        <v>82</v>
      </c>
      <c r="I5" s="351"/>
      <c r="J5" s="358"/>
      <c r="K5" s="359" t="s">
        <v>83</v>
      </c>
      <c r="L5" s="351"/>
      <c r="M5" s="360"/>
      <c r="N5" s="350" t="s">
        <v>80</v>
      </c>
      <c r="O5" s="351"/>
      <c r="P5" s="352"/>
    </row>
    <row r="6" spans="1:16" ht="18" customHeight="1" thickBot="1" x14ac:dyDescent="0.3">
      <c r="A6" s="92"/>
      <c r="C6" s="354"/>
      <c r="D6" s="356"/>
      <c r="E6" s="190" t="s">
        <v>56</v>
      </c>
      <c r="F6" s="191" t="s">
        <v>89</v>
      </c>
      <c r="G6" s="192" t="s">
        <v>58</v>
      </c>
      <c r="H6" s="193" t="s">
        <v>56</v>
      </c>
      <c r="I6" s="191" t="s">
        <v>89</v>
      </c>
      <c r="J6" s="192" t="s">
        <v>58</v>
      </c>
      <c r="K6" s="193" t="s">
        <v>56</v>
      </c>
      <c r="L6" s="191" t="s">
        <v>89</v>
      </c>
      <c r="M6" s="194" t="s">
        <v>58</v>
      </c>
      <c r="N6" s="240" t="s">
        <v>56</v>
      </c>
      <c r="O6" s="191" t="s">
        <v>89</v>
      </c>
      <c r="P6" s="241" t="s">
        <v>58</v>
      </c>
    </row>
    <row r="7" spans="1:16" ht="14.25" customHeight="1" thickTop="1" x14ac:dyDescent="0.25">
      <c r="A7" s="92"/>
      <c r="C7" s="361" t="s">
        <v>45</v>
      </c>
      <c r="D7" s="195" t="s">
        <v>59</v>
      </c>
      <c r="E7" s="196" t="e">
        <f>E8+E12</f>
        <v>#REF!</v>
      </c>
      <c r="F7" s="197" t="e">
        <f>'Для недоотпуска (час)'!F7*60</f>
        <v>#REF!</v>
      </c>
      <c r="G7" s="198" t="e">
        <f t="shared" ref="G7:G14" si="0">F7/E7</f>
        <v>#REF!</v>
      </c>
      <c r="H7" s="196" t="e">
        <f>H8+H12</f>
        <v>#REF!</v>
      </c>
      <c r="I7" s="197" t="e">
        <f>'Для недоотпуска (час)'!I7*60</f>
        <v>#REF!</v>
      </c>
      <c r="J7" s="198" t="e">
        <f t="shared" ref="J7:J14" si="1">I7/H7</f>
        <v>#REF!</v>
      </c>
      <c r="K7" s="196" t="e">
        <f>K8+K12</f>
        <v>#REF!</v>
      </c>
      <c r="L7" s="197" t="e">
        <f>'Для недоотпуска (час)'!L7*60</f>
        <v>#REF!</v>
      </c>
      <c r="M7" s="199" t="e">
        <f t="shared" ref="M7:M14" si="2">L7/K7</f>
        <v>#REF!</v>
      </c>
      <c r="N7" s="234" t="e">
        <f>N8+N12</f>
        <v>#REF!</v>
      </c>
      <c r="O7" s="197" t="e">
        <f>O8+O12</f>
        <v>#REF!</v>
      </c>
      <c r="P7" s="235" t="e">
        <f t="shared" ref="P7:P15" si="3">O7/N7</f>
        <v>#REF!</v>
      </c>
    </row>
    <row r="8" spans="1:16" ht="15.75" customHeight="1" x14ac:dyDescent="0.25">
      <c r="A8" s="92"/>
      <c r="C8" s="362"/>
      <c r="D8" s="200" t="s">
        <v>60</v>
      </c>
      <c r="E8" s="201" t="e">
        <f>E9+E10+E11</f>
        <v>#REF!</v>
      </c>
      <c r="F8" s="202" t="e">
        <f>'Для недоотпуска (час)'!F8*60</f>
        <v>#REF!</v>
      </c>
      <c r="G8" s="203">
        <v>0</v>
      </c>
      <c r="H8" s="201" t="e">
        <f>H9+H10+H11</f>
        <v>#REF!</v>
      </c>
      <c r="I8" s="202" t="e">
        <f>'Для недоотпуска (час)'!I8*60</f>
        <v>#REF!</v>
      </c>
      <c r="J8" s="203" t="e">
        <f>I8/H8</f>
        <v>#REF!</v>
      </c>
      <c r="K8" s="201" t="e">
        <f>K9+K10+K11</f>
        <v>#REF!</v>
      </c>
      <c r="L8" s="202" t="e">
        <f>'Для недоотпуска (час)'!L8*60</f>
        <v>#REF!</v>
      </c>
      <c r="M8" s="204">
        <v>0</v>
      </c>
      <c r="N8" s="205" t="e">
        <f>N9+N10+N11</f>
        <v>#REF!</v>
      </c>
      <c r="O8" s="202" t="e">
        <f>O9+O10+O11</f>
        <v>#REF!</v>
      </c>
      <c r="P8" s="206" t="e">
        <f t="shared" si="3"/>
        <v>#REF!</v>
      </c>
    </row>
    <row r="9" spans="1:16" x14ac:dyDescent="0.25">
      <c r="A9" s="92"/>
      <c r="C9" s="362"/>
      <c r="D9" s="207" t="s">
        <v>61</v>
      </c>
      <c r="E9" s="208" t="e">
        <f>COUNTIFS(Январь!C3:C149, "ВЛ", Январь!D3:D149, "0,4", Январь!#REF!, "Восточные ЭС")</f>
        <v>#REF!</v>
      </c>
      <c r="F9" s="209" t="e">
        <f>'Для недоотпуска (час)'!F9*60</f>
        <v>#REF!</v>
      </c>
      <c r="G9" s="210">
        <v>0</v>
      </c>
      <c r="H9" s="208" t="e">
        <f>COUNTIFS(Февраль!C3:C133, "ВЛ", Февраль!D3:D133, "0,4", Февраль!#REF!, "Восточные ЭС")</f>
        <v>#REF!</v>
      </c>
      <c r="I9" s="209" t="e">
        <f>'Для недоотпуска (час)'!I9*60</f>
        <v>#REF!</v>
      </c>
      <c r="J9" s="210" t="e">
        <f>I9/H9</f>
        <v>#REF!</v>
      </c>
      <c r="K9" s="212" t="e">
        <f>COUNTIFS(Март!C3:C106, "ВЛ", Март!D3:D106, "0,4", Март!#REF!, "Восточные ЭС")</f>
        <v>#REF!</v>
      </c>
      <c r="L9" s="209" t="e">
        <f>'Для недоотпуска (час)'!L9*60</f>
        <v>#REF!</v>
      </c>
      <c r="M9" s="211">
        <v>0</v>
      </c>
      <c r="N9" s="213" t="e">
        <f t="shared" ref="N9:O11" si="4">E9+H9+K9</f>
        <v>#REF!</v>
      </c>
      <c r="O9" s="209" t="e">
        <f t="shared" si="4"/>
        <v>#REF!</v>
      </c>
      <c r="P9" s="214" t="e">
        <f>O9/N9</f>
        <v>#REF!</v>
      </c>
    </row>
    <row r="10" spans="1:16" ht="15.75" customHeight="1" x14ac:dyDescent="0.25">
      <c r="C10" s="362"/>
      <c r="D10" s="207" t="s">
        <v>62</v>
      </c>
      <c r="E10" s="208" t="e">
        <f>COUNTIFS(Январь!C3:C149, "КЛ", Январь!D3:D149, "0,4", Январь!#REF!, "Восточные ЭС")</f>
        <v>#REF!</v>
      </c>
      <c r="F10" s="209" t="e">
        <f>'Для недоотпуска (час)'!F10*60</f>
        <v>#REF!</v>
      </c>
      <c r="G10" s="210">
        <v>0</v>
      </c>
      <c r="H10" s="208" t="e">
        <f>COUNTIFS(Февраль!C3:C133, "КЛ", Февраль!D3:D133, "0,4", Февраль!#REF!, "Восточные ЭС")</f>
        <v>#REF!</v>
      </c>
      <c r="I10" s="209" t="e">
        <f>'Для недоотпуска (час)'!I10*60</f>
        <v>#REF!</v>
      </c>
      <c r="J10" s="210">
        <v>0</v>
      </c>
      <c r="K10" s="212" t="e">
        <f>COUNTIFS(Март!C3:C106, "КЛ", Март!D3:D106, "0,4", Март!#REF!, "Восточные ЭС")</f>
        <v>#REF!</v>
      </c>
      <c r="L10" s="209" t="e">
        <f>'Для недоотпуска (час)'!L10*60</f>
        <v>#REF!</v>
      </c>
      <c r="M10" s="211">
        <v>0</v>
      </c>
      <c r="N10" s="213" t="e">
        <f t="shared" si="4"/>
        <v>#REF!</v>
      </c>
      <c r="O10" s="209" t="e">
        <f t="shared" si="4"/>
        <v>#REF!</v>
      </c>
      <c r="P10" s="214">
        <v>0</v>
      </c>
    </row>
    <row r="11" spans="1:16" x14ac:dyDescent="0.25">
      <c r="C11" s="362"/>
      <c r="D11" s="207" t="s">
        <v>63</v>
      </c>
      <c r="E11" s="208" t="e">
        <f>COUNTIFS(Январь!C3:C149, "ТП", Январь!D3:D149, "0,4", Январь!#REF!, "Восточные ЭС")</f>
        <v>#REF!</v>
      </c>
      <c r="F11" s="209" t="e">
        <f>'Для недоотпуска (час)'!F11*60</f>
        <v>#REF!</v>
      </c>
      <c r="G11" s="210">
        <v>0</v>
      </c>
      <c r="H11" s="208" t="e">
        <f>COUNTIFS(Февраль!C3:C133, "ТП", Февраль!D3:D133, "0,4", Февраль!#REF!, "Восточные ЭС")</f>
        <v>#REF!</v>
      </c>
      <c r="I11" s="209" t="e">
        <f>'Для недоотпуска (час)'!I11*60</f>
        <v>#REF!</v>
      </c>
      <c r="J11" s="210">
        <v>0</v>
      </c>
      <c r="K11" s="212" t="e">
        <f>COUNTIFS(Март!C3:C106, "ТП", Март!D3:D106, "0,4", Март!#REF!, "Восточные ЭС")</f>
        <v>#REF!</v>
      </c>
      <c r="L11" s="209" t="e">
        <f>'Для недоотпуска (час)'!L11*60</f>
        <v>#REF!</v>
      </c>
      <c r="M11" s="211">
        <v>0</v>
      </c>
      <c r="N11" s="213" t="e">
        <f t="shared" si="4"/>
        <v>#REF!</v>
      </c>
      <c r="O11" s="209" t="e">
        <f t="shared" si="4"/>
        <v>#REF!</v>
      </c>
      <c r="P11" s="214">
        <v>0</v>
      </c>
    </row>
    <row r="12" spans="1:16" x14ac:dyDescent="0.25">
      <c r="C12" s="362"/>
      <c r="D12" s="200" t="s">
        <v>64</v>
      </c>
      <c r="E12" s="201" t="e">
        <f>E13+E14+E15+E16+E17+E18</f>
        <v>#REF!</v>
      </c>
      <c r="F12" s="202" t="e">
        <f>'Для недоотпуска (час)'!F12*60</f>
        <v>#REF!</v>
      </c>
      <c r="G12" s="203" t="e">
        <f t="shared" si="0"/>
        <v>#REF!</v>
      </c>
      <c r="H12" s="201" t="e">
        <f>H13+H14+H15+H16+H17+H18</f>
        <v>#REF!</v>
      </c>
      <c r="I12" s="202" t="e">
        <f>'Для недоотпуска (час)'!I12*60</f>
        <v>#REF!</v>
      </c>
      <c r="J12" s="203" t="e">
        <f t="shared" si="1"/>
        <v>#REF!</v>
      </c>
      <c r="K12" s="201" t="e">
        <f>K13+K14+K15+K16+K17+K18</f>
        <v>#REF!</v>
      </c>
      <c r="L12" s="202" t="e">
        <f>'Для недоотпуска (час)'!L12*60</f>
        <v>#REF!</v>
      </c>
      <c r="M12" s="204" t="e">
        <f t="shared" si="2"/>
        <v>#REF!</v>
      </c>
      <c r="N12" s="205" t="e">
        <f>N13+N14+N15+N16+N17+N18</f>
        <v>#REF!</v>
      </c>
      <c r="O12" s="202" t="e">
        <f>O13+O14+O15+O16+O17+O18</f>
        <v>#REF!</v>
      </c>
      <c r="P12" s="206" t="e">
        <f t="shared" si="3"/>
        <v>#REF!</v>
      </c>
    </row>
    <row r="13" spans="1:16" x14ac:dyDescent="0.25">
      <c r="C13" s="362"/>
      <c r="D13" s="207" t="s">
        <v>61</v>
      </c>
      <c r="E13" s="208" t="e">
        <f>COUNTIFS(Январь!C3:C149, "ВЛ", Январь!D3:D149, "6", Январь!#REF!, "Восточные ЭС")+COUNTIFS(Январь!C3:C149, "ВЛ", Январь!D3:D149, "10", Январь!#REF!, "Восточные ЭС")+COUNTIFS(Январь!C3:C149, "ВЛ", Январь!D3:D149, "35", Январь!#REF!, "Восточные ЭС")+COUNTIFS(Январь!C3:C149, "ВЛ", Январь!D3:D149, "110", Январь!#REF!, "Восточные ЭС")</f>
        <v>#REF!</v>
      </c>
      <c r="F13" s="209" t="e">
        <f>'Для недоотпуска (час)'!F13*60</f>
        <v>#REF!</v>
      </c>
      <c r="G13" s="210" t="e">
        <f t="shared" si="0"/>
        <v>#REF!</v>
      </c>
      <c r="H13" s="208" t="e">
        <f>COUNTIFS(Февраль!C3:C133, "ВЛ", Февраль!D3:D133, "6", Февраль!#REF!, "Восточные ЭС")+COUNTIFS(Февраль!C3:C133, "ВЛ", Февраль!D3:D133, "10", Февраль!#REF!, "Восточные ЭС")+COUNTIFS(Февраль!C3:C133, "ВЛ", Февраль!D3:D133, "35", Февраль!#REF!, "Восточные ЭС")+COUNTIFS(Февраль!C3:C133, "ВЛ", Февраль!D3:D133, "110", Февраль!#REF!, "Восточные ЭС")</f>
        <v>#REF!</v>
      </c>
      <c r="I13" s="209" t="e">
        <f>'Для недоотпуска (час)'!I13*60</f>
        <v>#REF!</v>
      </c>
      <c r="J13" s="210" t="e">
        <f t="shared" si="1"/>
        <v>#REF!</v>
      </c>
      <c r="K13" s="212" t="e">
        <f>COUNTIFS(Март!C3:C106, "ВЛ", Март!D3:D106, "6", Март!#REF!, "Восточные ЭС")+COUNTIFS(Март!C3:C106, "ВЛ", Март!D3:D106, "10", Март!#REF!, "Восточные ЭС")+COUNTIFS(Март!C3:C106, "ВЛ", Март!D3:D106, "35", Март!#REF!, "Восточные ЭС")+COUNTIFS(Март!C3:C106, "ВЛ", Март!D3:D106, "110", Март!#REF!, "Восточные ЭС")</f>
        <v>#REF!</v>
      </c>
      <c r="L13" s="209" t="e">
        <f>'Для недоотпуска (час)'!L13*60</f>
        <v>#REF!</v>
      </c>
      <c r="M13" s="211" t="e">
        <f t="shared" si="2"/>
        <v>#REF!</v>
      </c>
      <c r="N13" s="213" t="e">
        <f t="shared" ref="N13:O15" si="5">E13+H13+K13</f>
        <v>#REF!</v>
      </c>
      <c r="O13" s="209" t="e">
        <f t="shared" si="5"/>
        <v>#REF!</v>
      </c>
      <c r="P13" s="214" t="e">
        <f t="shared" si="3"/>
        <v>#REF!</v>
      </c>
    </row>
    <row r="14" spans="1:16" x14ac:dyDescent="0.25">
      <c r="C14" s="362"/>
      <c r="D14" s="207" t="s">
        <v>62</v>
      </c>
      <c r="E14" s="208" t="e">
        <f>COUNTIFS(Январь!C3:C149, "КЛ", Январь!D3:D149, "6", Январь!#REF!, "Восточные ЭС")+COUNTIFS(Январь!C3:C149, "КЛ", Январь!D3:D149, "10", Январь!#REF!, "Восточные ЭС")+COUNTIFS(Январь!C3:C149, "КЛ", Январь!D3:D149, "35", Январь!#REF!, "Восточные ЭС")+COUNTIFS(Январь!C3:C149, "КЛ", Январь!D3:D149, "110", Январь!#REF!, "Восточные ЭС")</f>
        <v>#REF!</v>
      </c>
      <c r="F14" s="209" t="e">
        <f>'Для недоотпуска (час)'!F14*60</f>
        <v>#REF!</v>
      </c>
      <c r="G14" s="210" t="e">
        <f t="shared" si="0"/>
        <v>#REF!</v>
      </c>
      <c r="H14" s="208" t="e">
        <f>COUNTIFS(Февраль!C3:C133, "КЛ", Февраль!D3:D133, "6", Февраль!#REF!, "Восточные ЭС")+COUNTIFS(Февраль!C3:C133, "КЛ", Февраль!D3:D133, "10", Февраль!#REF!, "Восточные ЭС")+COUNTIFS(Февраль!C3:C133, "КЛ", Февраль!D3:D133, "35", Февраль!#REF!, "Восточные ЭС")+COUNTIFS(Февраль!C3:C133, "КЛ", Февраль!D3:D133, "110", Февраль!#REF!, "Восточные ЭС")</f>
        <v>#REF!</v>
      </c>
      <c r="I14" s="209" t="e">
        <f>'Для недоотпуска (час)'!I14*60</f>
        <v>#REF!</v>
      </c>
      <c r="J14" s="210" t="e">
        <f t="shared" si="1"/>
        <v>#REF!</v>
      </c>
      <c r="K14" s="212" t="e">
        <f>COUNTIFS(Март!C3:C106, "КЛ", Март!D3:D106, "6", Март!#REF!, "Восточные ЭС")+COUNTIFS(Март!C3:C106, "КЛ", Март!D3:D106, "10", Март!#REF!, "Восточные ЭС")+COUNTIFS(Март!C3:C106, "КЛ", Март!D3:D106, "35", Март!#REF!, "Восточные ЭС")+COUNTIFS(Март!C3:C106, "КЛ", Март!D3:D106, "110", Март!#REF!, "Восточные ЭС")</f>
        <v>#REF!</v>
      </c>
      <c r="L14" s="209" t="e">
        <f>'Для недоотпуска (час)'!L14*60</f>
        <v>#REF!</v>
      </c>
      <c r="M14" s="211" t="e">
        <f t="shared" si="2"/>
        <v>#REF!</v>
      </c>
      <c r="N14" s="213" t="e">
        <f t="shared" si="5"/>
        <v>#REF!</v>
      </c>
      <c r="O14" s="209" t="e">
        <f t="shared" si="5"/>
        <v>#REF!</v>
      </c>
      <c r="P14" s="214" t="e">
        <f t="shared" si="3"/>
        <v>#REF!</v>
      </c>
    </row>
    <row r="15" spans="1:16" x14ac:dyDescent="0.25">
      <c r="C15" s="362"/>
      <c r="D15" s="207" t="s">
        <v>65</v>
      </c>
      <c r="E15" s="208" t="e">
        <f>COUNTIFS(Январь!C3:C149, "ТП", Январь!D3:D149, "6", Январь!#REF!, "Восточные ЭС")+COUNTIFS(Январь!C3:C149, "ТП", Январь!D3:D149, "10", Январь!#REF!, "Восточные ЭС")+COUNTIFS(Январь!C3:C149, "ПС", Январь!D3:D149, "6", Январь!#REF!, "Восточные ЭС")+COUNTIFS(Январь!C3:C149, "ПС", Январь!D3:D149, "10", Январь!#REF!, "Восточные ЭС")+COUNTIFS(Январь!C3:C149, "РП", Январь!D3:D149, "6", Январь!#REF!, "Восточные ЭС")+COUNTIFS(Январь!C3:C149, "РП", Январь!D3:D149, "10", Январь!#REF!, "Восточные ЭС")</f>
        <v>#REF!</v>
      </c>
      <c r="F15" s="209" t="e">
        <f>'Для недоотпуска (час)'!F15*60</f>
        <v>#REF!</v>
      </c>
      <c r="G15" s="210" t="e">
        <f>F15/E15</f>
        <v>#REF!</v>
      </c>
      <c r="H15" s="208" t="e">
        <f>COUNTIFS(Февраль!C3:C133, "ТП", Февраль!D3:D133, "6", Февраль!#REF!, "Восточные ЭС")+COUNTIFS(Февраль!C3:C133, "ТП", Февраль!D3:D133, "10", Февраль!#REF!, "Восточные ЭС")+COUNTIFS(Февраль!C3:C133, "ПС", Февраль!D3:D133, "6", Февраль!#REF!, "Восточные ЭС")+COUNTIFS(Февраль!C3:C133, "ПС", Февраль!D3:D133, "10", Февраль!#REF!, "Восточные ЭС")</f>
        <v>#REF!</v>
      </c>
      <c r="I15" s="209" t="e">
        <f>'Для недоотпуска (час)'!I15*60</f>
        <v>#REF!</v>
      </c>
      <c r="J15" s="210" t="e">
        <f>I15/H15</f>
        <v>#REF!</v>
      </c>
      <c r="K15" s="212" t="e">
        <f>COUNTIFS(Март!C3:C106, "ТП", Март!D3:D106, "6", Март!#REF!, "Восточные ЭС")+COUNTIFS(Март!C3:C106, "ТП", Март!D3:D106, "10", Март!#REF!, "Восточные ЭС")+COUNTIFS(Март!C3:C106, "ПС", Март!D3:D106, "6", Март!#REF!, "Восточные ЭС")+COUNTIFS(Март!C3:C106, "ПС", Март!D3:D106, "10", Март!#REF!, "Восточные ЭС")</f>
        <v>#REF!</v>
      </c>
      <c r="L15" s="209" t="e">
        <f>'Для недоотпуска (час)'!L15*60</f>
        <v>#REF!</v>
      </c>
      <c r="M15" s="211">
        <v>0</v>
      </c>
      <c r="N15" s="213" t="e">
        <f t="shared" si="5"/>
        <v>#REF!</v>
      </c>
      <c r="O15" s="209" t="e">
        <f t="shared" si="5"/>
        <v>#REF!</v>
      </c>
      <c r="P15" s="214" t="e">
        <f t="shared" si="3"/>
        <v>#REF!</v>
      </c>
    </row>
    <row r="16" spans="1:16" x14ac:dyDescent="0.25">
      <c r="C16" s="362"/>
      <c r="D16" s="207" t="s">
        <v>66</v>
      </c>
      <c r="E16" s="208">
        <v>0</v>
      </c>
      <c r="F16" s="209">
        <f>'Для недоотпуска (час)'!F16*60</f>
        <v>0</v>
      </c>
      <c r="G16" s="210">
        <v>0</v>
      </c>
      <c r="H16" s="208">
        <v>0</v>
      </c>
      <c r="I16" s="209">
        <f>'Для недоотпуска (час)'!I16*60</f>
        <v>0</v>
      </c>
      <c r="J16" s="211">
        <v>0</v>
      </c>
      <c r="K16" s="212">
        <v>0</v>
      </c>
      <c r="L16" s="209">
        <f>'Для недоотпуска (час)'!L16*60</f>
        <v>0</v>
      </c>
      <c r="M16" s="211">
        <v>0</v>
      </c>
      <c r="N16" s="213">
        <v>0</v>
      </c>
      <c r="O16" s="209">
        <v>0</v>
      </c>
      <c r="P16" s="214">
        <v>0</v>
      </c>
    </row>
    <row r="17" spans="2:16" ht="18.75" x14ac:dyDescent="0.3">
      <c r="B17" s="215"/>
      <c r="C17" s="362"/>
      <c r="D17" s="207" t="s">
        <v>67</v>
      </c>
      <c r="E17" s="208">
        <v>0</v>
      </c>
      <c r="F17" s="209">
        <f>'Для недоотпуска (час)'!F17*60</f>
        <v>0</v>
      </c>
      <c r="G17" s="210">
        <v>0</v>
      </c>
      <c r="H17" s="208">
        <v>0</v>
      </c>
      <c r="I17" s="209">
        <f>'Для недоотпуска (час)'!I17*60</f>
        <v>0</v>
      </c>
      <c r="J17" s="211">
        <v>0</v>
      </c>
      <c r="K17" s="212">
        <v>0</v>
      </c>
      <c r="L17" s="209">
        <f>'Для недоотпуска (час)'!L17*60</f>
        <v>0</v>
      </c>
      <c r="M17" s="211">
        <v>0</v>
      </c>
      <c r="N17" s="213">
        <v>0</v>
      </c>
      <c r="O17" s="209">
        <v>0</v>
      </c>
      <c r="P17" s="214">
        <v>0</v>
      </c>
    </row>
    <row r="18" spans="2:16" ht="15.75" thickBot="1" x14ac:dyDescent="0.3">
      <c r="C18" s="363"/>
      <c r="D18" s="216" t="s">
        <v>68</v>
      </c>
      <c r="E18" s="217">
        <v>0</v>
      </c>
      <c r="F18" s="218">
        <f>'Для недоотпуска (час)'!F18*60</f>
        <v>0</v>
      </c>
      <c r="G18" s="219">
        <v>0</v>
      </c>
      <c r="H18" s="217">
        <v>0</v>
      </c>
      <c r="I18" s="218">
        <f>'Для недоотпуска (час)'!I18*60</f>
        <v>0</v>
      </c>
      <c r="J18" s="220">
        <v>0</v>
      </c>
      <c r="K18" s="221">
        <v>0</v>
      </c>
      <c r="L18" s="218">
        <f>'Для недоотпуска (час)'!L18*60</f>
        <v>0</v>
      </c>
      <c r="M18" s="220">
        <v>0</v>
      </c>
      <c r="N18" s="243">
        <v>0</v>
      </c>
      <c r="O18" s="242">
        <v>0</v>
      </c>
      <c r="P18" s="244">
        <v>0</v>
      </c>
    </row>
    <row r="19" spans="2:16" ht="15" customHeight="1" x14ac:dyDescent="0.25">
      <c r="C19" s="364" t="s">
        <v>46</v>
      </c>
      <c r="D19" s="222" t="s">
        <v>59</v>
      </c>
      <c r="E19" s="196" t="e">
        <f>E20+E24</f>
        <v>#REF!</v>
      </c>
      <c r="F19" s="197" t="e">
        <f>'Для недоотпуска (час)'!F19*60</f>
        <v>#REF!</v>
      </c>
      <c r="G19" s="198" t="e">
        <f t="shared" ref="G19:G26" si="6">F19/E19</f>
        <v>#REF!</v>
      </c>
      <c r="H19" s="196" t="e">
        <f>H20+H24</f>
        <v>#REF!</v>
      </c>
      <c r="I19" s="197" t="e">
        <f>'Для недоотпуска (час)'!I19*60</f>
        <v>#REF!</v>
      </c>
      <c r="J19" s="198" t="e">
        <f t="shared" ref="J19:J26" si="7">I19/H19</f>
        <v>#REF!</v>
      </c>
      <c r="K19" s="196" t="e">
        <f>K20+K24</f>
        <v>#REF!</v>
      </c>
      <c r="L19" s="197" t="e">
        <f>'Для недоотпуска (час)'!L19*60</f>
        <v>#REF!</v>
      </c>
      <c r="M19" s="199" t="e">
        <f t="shared" ref="M19:M25" si="8">L19/K19</f>
        <v>#REF!</v>
      </c>
      <c r="N19" s="224" t="e">
        <f>N20+N24</f>
        <v>#REF!</v>
      </c>
      <c r="O19" s="223" t="e">
        <f>O20+O24</f>
        <v>#REF!</v>
      </c>
      <c r="P19" s="225" t="e">
        <f t="shared" ref="P19:P26" si="9">O19/N19</f>
        <v>#REF!</v>
      </c>
    </row>
    <row r="20" spans="2:16" ht="15" customHeight="1" x14ac:dyDescent="0.25">
      <c r="C20" s="362"/>
      <c r="D20" s="200" t="s">
        <v>60</v>
      </c>
      <c r="E20" s="201" t="e">
        <f>E21+E22+E23</f>
        <v>#REF!</v>
      </c>
      <c r="F20" s="202" t="e">
        <f>'Для недоотпуска (час)'!F20*60</f>
        <v>#REF!</v>
      </c>
      <c r="G20" s="203">
        <v>0</v>
      </c>
      <c r="H20" s="201" t="e">
        <f>H21+H22+H23</f>
        <v>#REF!</v>
      </c>
      <c r="I20" s="202" t="e">
        <f>'Для недоотпуска (час)'!I20*60</f>
        <v>#REF!</v>
      </c>
      <c r="J20" s="203">
        <v>0</v>
      </c>
      <c r="K20" s="201" t="e">
        <f>K21+K22+K23</f>
        <v>#REF!</v>
      </c>
      <c r="L20" s="202" t="e">
        <f>'Для недоотпуска (час)'!L20*60</f>
        <v>#REF!</v>
      </c>
      <c r="M20" s="204">
        <v>0</v>
      </c>
      <c r="N20" s="205" t="e">
        <f>N21+N22+N23</f>
        <v>#REF!</v>
      </c>
      <c r="O20" s="202" t="e">
        <f>O21+O22+O23</f>
        <v>#REF!</v>
      </c>
      <c r="P20" s="206">
        <v>0</v>
      </c>
    </row>
    <row r="21" spans="2:16" x14ac:dyDescent="0.25">
      <c r="C21" s="362"/>
      <c r="D21" s="207" t="s">
        <v>61</v>
      </c>
      <c r="E21" s="208" t="e">
        <f>COUNTIFS(Январь!C3:C149, "ВЛ", Январь!D3:D149, "0,4", Январь!#REF!, "Западные ЭС")</f>
        <v>#REF!</v>
      </c>
      <c r="F21" s="209" t="e">
        <f>'Для недоотпуска (час)'!F21*60</f>
        <v>#REF!</v>
      </c>
      <c r="G21" s="210">
        <v>0</v>
      </c>
      <c r="H21" s="208" t="e">
        <f>COUNTIFS(Февраль!C3:C133, "ВЛ", Февраль!D3:D133, "0,4", Февраль!#REF!, "Западные ЭС")</f>
        <v>#REF!</v>
      </c>
      <c r="I21" s="209" t="e">
        <f>'Для недоотпуска (час)'!I21*60</f>
        <v>#REF!</v>
      </c>
      <c r="J21" s="210">
        <v>0</v>
      </c>
      <c r="K21" s="212" t="e">
        <f>COUNTIFS(Март!C6:C155, "ВЛ", Март!D6:D155, "0,4", Март!#REF!, "Западные ЭС")</f>
        <v>#REF!</v>
      </c>
      <c r="L21" s="209" t="e">
        <f>'Для недоотпуска (час)'!L21*60</f>
        <v>#REF!</v>
      </c>
      <c r="M21" s="211">
        <v>0</v>
      </c>
      <c r="N21" s="213" t="e">
        <f t="shared" ref="N21:O23" si="10">E21+H21+K21</f>
        <v>#REF!</v>
      </c>
      <c r="O21" s="209" t="e">
        <f t="shared" si="10"/>
        <v>#REF!</v>
      </c>
      <c r="P21" s="214">
        <v>0</v>
      </c>
    </row>
    <row r="22" spans="2:16" x14ac:dyDescent="0.25">
      <c r="C22" s="362"/>
      <c r="D22" s="207" t="s">
        <v>62</v>
      </c>
      <c r="E22" s="208" t="e">
        <f>COUNTIFS(Январь!C3:C149, "КЛ", Январь!D3:D149, "0,4", Январь!#REF!, "Западные ЭС")</f>
        <v>#REF!</v>
      </c>
      <c r="F22" s="209" t="e">
        <f>'Для недоотпуска (час)'!F22*60</f>
        <v>#REF!</v>
      </c>
      <c r="G22" s="210">
        <v>0</v>
      </c>
      <c r="H22" s="208" t="e">
        <f>COUNTIFS(Февраль!C3:C133, "КЛ", Февраль!D3:D133, "0,4", Февраль!#REF!, "Западные ЭС")</f>
        <v>#REF!</v>
      </c>
      <c r="I22" s="209" t="e">
        <f>'Для недоотпуска (час)'!I22*60</f>
        <v>#REF!</v>
      </c>
      <c r="J22" s="210">
        <v>0</v>
      </c>
      <c r="K22" s="212" t="e">
        <f>COUNTIFS(Март!C6:C155, "КЛ", Март!D6:D155, "0,4", Март!#REF!, "Западные ЭС")</f>
        <v>#REF!</v>
      </c>
      <c r="L22" s="209" t="e">
        <f>'Для недоотпуска (час)'!L22*60</f>
        <v>#REF!</v>
      </c>
      <c r="M22" s="211">
        <v>0</v>
      </c>
      <c r="N22" s="213" t="e">
        <f t="shared" si="10"/>
        <v>#REF!</v>
      </c>
      <c r="O22" s="209" t="e">
        <f t="shared" si="10"/>
        <v>#REF!</v>
      </c>
      <c r="P22" s="214">
        <v>0</v>
      </c>
    </row>
    <row r="23" spans="2:16" x14ac:dyDescent="0.25">
      <c r="C23" s="362"/>
      <c r="D23" s="207" t="s">
        <v>63</v>
      </c>
      <c r="E23" s="208" t="e">
        <f>COUNTIFS(Январь!C3:C149, "ТП", Январь!D3:D149, "0,4", Январь!#REF!, "Западные ЭС")</f>
        <v>#REF!</v>
      </c>
      <c r="F23" s="209" t="e">
        <f>'Для недоотпуска (час)'!F23*60</f>
        <v>#REF!</v>
      </c>
      <c r="G23" s="210">
        <v>0</v>
      </c>
      <c r="H23" s="208" t="e">
        <f>COUNTIFS(Февраль!C3:C133, "ТП", Февраль!D3:D133, "0,4", Февраль!#REF!, "Западные ЭС")</f>
        <v>#REF!</v>
      </c>
      <c r="I23" s="209" t="e">
        <f>'Для недоотпуска (час)'!I23*60</f>
        <v>#REF!</v>
      </c>
      <c r="J23" s="210">
        <v>0</v>
      </c>
      <c r="K23" s="212" t="e">
        <f>COUNTIFS(Март!C6:C155, "ТП", Март!D6:D155, "0,4", Март!#REF!, "Западные ЭС")</f>
        <v>#REF!</v>
      </c>
      <c r="L23" s="209" t="e">
        <f>'Для недоотпуска (час)'!L23*60</f>
        <v>#REF!</v>
      </c>
      <c r="M23" s="211">
        <v>0</v>
      </c>
      <c r="N23" s="213" t="e">
        <f t="shared" si="10"/>
        <v>#REF!</v>
      </c>
      <c r="O23" s="209" t="e">
        <f t="shared" si="10"/>
        <v>#REF!</v>
      </c>
      <c r="P23" s="214">
        <v>0</v>
      </c>
    </row>
    <row r="24" spans="2:16" x14ac:dyDescent="0.25">
      <c r="C24" s="362"/>
      <c r="D24" s="200" t="s">
        <v>64</v>
      </c>
      <c r="E24" s="201" t="e">
        <f>E25+E26+E27+E28+E29+E30</f>
        <v>#REF!</v>
      </c>
      <c r="F24" s="202" t="e">
        <f>'Для недоотпуска (час)'!F24*60</f>
        <v>#REF!</v>
      </c>
      <c r="G24" s="203" t="e">
        <f t="shared" si="6"/>
        <v>#REF!</v>
      </c>
      <c r="H24" s="201" t="e">
        <f>H25+H26+H27+H28+H29+H30</f>
        <v>#REF!</v>
      </c>
      <c r="I24" s="202" t="e">
        <f>'Для недоотпуска (час)'!I24*60</f>
        <v>#REF!</v>
      </c>
      <c r="J24" s="203" t="e">
        <f t="shared" si="7"/>
        <v>#REF!</v>
      </c>
      <c r="K24" s="201" t="e">
        <f>K25+K26+K27+K28+K29+K30</f>
        <v>#REF!</v>
      </c>
      <c r="L24" s="202" t="e">
        <f>'Для недоотпуска (час)'!L24*60</f>
        <v>#REF!</v>
      </c>
      <c r="M24" s="204" t="e">
        <f t="shared" si="8"/>
        <v>#REF!</v>
      </c>
      <c r="N24" s="205" t="e">
        <f>N25+N26+N27+N28+N29+N30</f>
        <v>#REF!</v>
      </c>
      <c r="O24" s="202" t="e">
        <f>O25+O26+O27+O28+O29+O30</f>
        <v>#REF!</v>
      </c>
      <c r="P24" s="206" t="e">
        <f t="shared" si="9"/>
        <v>#REF!</v>
      </c>
    </row>
    <row r="25" spans="2:16" x14ac:dyDescent="0.25">
      <c r="C25" s="362"/>
      <c r="D25" s="207" t="s">
        <v>61</v>
      </c>
      <c r="E25" s="208" t="e">
        <f>COUNTIFS(Январь!C3:C149, "ВЛ", Январь!D3:D149, "6", Январь!#REF!, "Западные ЭС")+COUNTIFS(Январь!C3:C149, "ВЛ", Январь!D3:D149, "10", Январь!#REF!, "Западные ЭС")+COUNTIFS(Январь!C3:C149, "ВЛ", Январь!D3:D149, "35", Январь!#REF!, "Западные ЭС")+COUNTIFS(Январь!C3:C149, "ВЛ", Январь!D3:D149, "110", Январь!#REF!, "Западные ЭС")</f>
        <v>#REF!</v>
      </c>
      <c r="F25" s="209" t="e">
        <f>'Для недоотпуска (час)'!F25*60</f>
        <v>#REF!</v>
      </c>
      <c r="G25" s="210" t="e">
        <f t="shared" si="6"/>
        <v>#REF!</v>
      </c>
      <c r="H25" s="208" t="e">
        <f>COUNTIFS(Февраль!C3:C133, "ВЛ", Февраль!D3:D133, "6", Февраль!#REF!, "Западные ЭС")+COUNTIFS(Февраль!C3:C133, "ВЛ", Февраль!D3:D133, "10", Февраль!#REF!, "Западные ЭС")+COUNTIFS(Февраль!C3:C133, "ВЛ", Февраль!D3:D133, "35", Февраль!#REF!, "Западные ЭС")+COUNTIFS(Февраль!C3:C133, "ВЛ", Февраль!D3:D133, "110", Февраль!#REF!, "Западные ЭС")</f>
        <v>#REF!</v>
      </c>
      <c r="I25" s="209" t="e">
        <f>'Для недоотпуска (час)'!I25*60</f>
        <v>#REF!</v>
      </c>
      <c r="J25" s="210" t="e">
        <f t="shared" si="7"/>
        <v>#REF!</v>
      </c>
      <c r="K25" s="212" t="e">
        <f>COUNTIFS(Март!C6:C155, "ВЛ", Март!D6:D155, "6", Март!#REF!, "Западные ЭС")+COUNTIFS(Март!C6:C155, "ВЛ", Март!D6:D155, "10", Март!#REF!, "Западные ЭС")+COUNTIFS(Март!C6:C155, "ВЛ", Март!D6:D155, "35", Март!#REF!, "Западные ЭС")+COUNTIFS(Март!C6:C155, "ВЛ", Март!D6:D155, "110", Март!#REF!, "Западные ЭС")</f>
        <v>#REF!</v>
      </c>
      <c r="L25" s="209" t="e">
        <f>'Для недоотпуска (час)'!L25*60</f>
        <v>#REF!</v>
      </c>
      <c r="M25" s="211" t="e">
        <f t="shared" si="8"/>
        <v>#REF!</v>
      </c>
      <c r="N25" s="213" t="e">
        <f t="shared" ref="N25:O27" si="11">E25+H25+K25</f>
        <v>#REF!</v>
      </c>
      <c r="O25" s="209" t="e">
        <f t="shared" si="11"/>
        <v>#REF!</v>
      </c>
      <c r="P25" s="214" t="e">
        <f t="shared" si="9"/>
        <v>#REF!</v>
      </c>
    </row>
    <row r="26" spans="2:16" x14ac:dyDescent="0.25">
      <c r="C26" s="362"/>
      <c r="D26" s="207" t="s">
        <v>62</v>
      </c>
      <c r="E26" s="208" t="e">
        <f>COUNTIFS(Январь!C3:C149, "КЛ", Январь!D3:D149, "6", Январь!#REF!, "Западные ЭС")+COUNTIFS(Январь!C3:C149, "КЛ", Январь!D3:D149, "10", Январь!#REF!, "Западные ЭС")+COUNTIFS(Январь!C3:C149, "КЛ", Январь!D3:D149, "35", Январь!#REF!, "Западные ЭС")+COUNTIFS(Январь!C3:C149, "КЛ", Январь!D3:D149, "110", Январь!#REF!, "Западные ЭС")</f>
        <v>#REF!</v>
      </c>
      <c r="F26" s="209" t="e">
        <f>'Для недоотпуска (час)'!F26*60</f>
        <v>#REF!</v>
      </c>
      <c r="G26" s="210" t="e">
        <f t="shared" si="6"/>
        <v>#REF!</v>
      </c>
      <c r="H26" s="208" t="e">
        <f>COUNTIFS(Февраль!C3:C133, "КЛ", Февраль!D3:D133, "6", Февраль!#REF!, "Западные ЭС")+COUNTIFS(Февраль!C3:C133, "КЛ", Февраль!D3:D133, "10", Февраль!#REF!, "Западные ЭС")+COUNTIFS(Февраль!C3:C133, "КЛ", Февраль!D3:D133, "35", Февраль!#REF!, "Западные ЭС")+COUNTIFS(Февраль!C3:C133, "КЛ", Февраль!D3:D133, "110", Февраль!#REF!, "Западные ЭС")</f>
        <v>#REF!</v>
      </c>
      <c r="I26" s="209" t="e">
        <f>'Для недоотпуска (час)'!I26*60</f>
        <v>#REF!</v>
      </c>
      <c r="J26" s="210" t="e">
        <f t="shared" si="7"/>
        <v>#REF!</v>
      </c>
      <c r="K26" s="212" t="e">
        <f>COUNTIFS(Март!C6:C155, "КЛ", Март!D6:D155, "6", Март!#REF!, "Западные ЭС")+COUNTIFS(Март!C6:C155, "КЛ", Март!D6:D155, "10", Март!#REF!, "Западные ЭС")+COUNTIFS(Март!C6:C155, "КЛ", Март!D6:D155, "35", Март!#REF!, "Западные ЭС")+COUNTIFS(Март!C6:C155, "КЛ", Март!D6:D155, "110", Март!#REF!, "Западные ЭС")</f>
        <v>#REF!</v>
      </c>
      <c r="L26" s="209" t="e">
        <f>'Для недоотпуска (час)'!L26*60</f>
        <v>#REF!</v>
      </c>
      <c r="M26" s="211" t="e">
        <f>L26/K26</f>
        <v>#REF!</v>
      </c>
      <c r="N26" s="213" t="e">
        <f t="shared" si="11"/>
        <v>#REF!</v>
      </c>
      <c r="O26" s="209" t="e">
        <f t="shared" si="11"/>
        <v>#REF!</v>
      </c>
      <c r="P26" s="214" t="e">
        <f t="shared" si="9"/>
        <v>#REF!</v>
      </c>
    </row>
    <row r="27" spans="2:16" x14ac:dyDescent="0.25">
      <c r="C27" s="362"/>
      <c r="D27" s="207" t="s">
        <v>65</v>
      </c>
      <c r="E27" s="208" t="e">
        <f>COUNTIFS(Январь!C3:C149, "ТП", Январь!D3:D149, "6", Январь!#REF!, "Западные ЭС")+COUNTIFS(Январь!C3:C149, "ТП", Январь!D3:D149, "10", Январь!#REF!, "Западные ЭС")+COUNTIFS(Январь!C3:C149, "ПС", Январь!D3:D149, "6", Январь!#REF!, "Западные ЭС")+COUNTIFS(Январь!C3:C149, "ПС", Январь!D3:D149, "10", Январь!#REF!, "Западные ЭС")+COUNTIFS(Январь!C3:C149, "РП", Январь!D3:D149, "6", Январь!#REF!, "Западные ЭС")+COUNTIFS(Январь!C3:C149, "РП", Январь!D3:D149, "10", Январь!#REF!, "Западные ЭС")</f>
        <v>#REF!</v>
      </c>
      <c r="F27" s="209" t="e">
        <f>'Для недоотпуска (час)'!F27*60</f>
        <v>#REF!</v>
      </c>
      <c r="G27" s="210">
        <v>0</v>
      </c>
      <c r="H27" s="208" t="e">
        <f>COUNTIFS(Февраль!C3:C133, "ТП", Февраль!D3:D133, "6", Февраль!#REF!, "Западные ЭС")+COUNTIFS(Февраль!C3:C133, "ТП", Февраль!D3:D133, "10", Февраль!#REF!, "Западные ЭС")+COUNTIFS(Февраль!C3:C133, "ПС", Февраль!D3:D133, "6", Февраль!#REF!, "Западные ЭС")+COUNTIFS(Февраль!C3:C133, "ПС", Февраль!D3:D133, "10", Февраль!#REF!, "Западные ЭС")+COUNTIFS(Февраль!C3:C133, "РП", Февраль!D3:D133, "6", Февраль!#REF!, "Западные ЭС")+COUNTIFS(Февраль!C3:C133, "РП", Февраль!D3:D133, "10", Февраль!#REF!, "Западные ЭС")</f>
        <v>#REF!</v>
      </c>
      <c r="I27" s="209" t="e">
        <f>'Для недоотпуска (час)'!I27*60</f>
        <v>#REF!</v>
      </c>
      <c r="J27" s="210">
        <v>0</v>
      </c>
      <c r="K27" s="212" t="e">
        <f>COUNTIFS(Март!C6:C155, "ТП", Март!D6:D155, "6", Март!#REF!, "Западные ЭС")+COUNTIFS(Март!C6:C155, "ТП", Март!D6:D155, "10", Март!#REF!, "Западные ЭС")+COUNTIFS(Март!C6:C155, "ПС", Март!D6:D155, "6", Март!#REF!, "Западные ЭС")+COUNTIFS(Март!C6:C155, "ПС", Март!D6:D155, "10", Март!#REF!, "Западные ЭС")</f>
        <v>#REF!</v>
      </c>
      <c r="L27" s="209" t="e">
        <f>'Для недоотпуска (час)'!L27*60</f>
        <v>#REF!</v>
      </c>
      <c r="M27" s="211">
        <v>0</v>
      </c>
      <c r="N27" s="213" t="e">
        <f t="shared" si="11"/>
        <v>#REF!</v>
      </c>
      <c r="O27" s="209" t="e">
        <f t="shared" si="11"/>
        <v>#REF!</v>
      </c>
      <c r="P27" s="214">
        <v>0</v>
      </c>
    </row>
    <row r="28" spans="2:16" ht="15.75" customHeight="1" x14ac:dyDescent="0.25">
      <c r="C28" s="362"/>
      <c r="D28" s="207" t="s">
        <v>66</v>
      </c>
      <c r="E28" s="208">
        <v>0</v>
      </c>
      <c r="F28" s="209">
        <f>'Для недоотпуска (час)'!F28*60</f>
        <v>0</v>
      </c>
      <c r="G28" s="210">
        <v>0</v>
      </c>
      <c r="H28" s="208">
        <v>0</v>
      </c>
      <c r="I28" s="209">
        <f>'Для недоотпуска (час)'!I28*60</f>
        <v>0</v>
      </c>
      <c r="J28" s="211">
        <v>0</v>
      </c>
      <c r="K28" s="212">
        <v>0</v>
      </c>
      <c r="L28" s="209">
        <f>'Для недоотпуска (час)'!L28*60</f>
        <v>0</v>
      </c>
      <c r="M28" s="211">
        <v>0</v>
      </c>
      <c r="N28" s="213">
        <v>0</v>
      </c>
      <c r="O28" s="209">
        <v>0</v>
      </c>
      <c r="P28" s="214">
        <v>0</v>
      </c>
    </row>
    <row r="29" spans="2:16" ht="18.75" x14ac:dyDescent="0.3">
      <c r="B29" s="215"/>
      <c r="C29" s="362"/>
      <c r="D29" s="207" t="s">
        <v>67</v>
      </c>
      <c r="E29" s="208">
        <v>0</v>
      </c>
      <c r="F29" s="209">
        <f>'Для недоотпуска (час)'!F29*60</f>
        <v>0</v>
      </c>
      <c r="G29" s="210">
        <v>0</v>
      </c>
      <c r="H29" s="208">
        <v>0</v>
      </c>
      <c r="I29" s="209">
        <f>'Для недоотпуска (час)'!I29*60</f>
        <v>0</v>
      </c>
      <c r="J29" s="211">
        <v>0</v>
      </c>
      <c r="K29" s="212">
        <v>0</v>
      </c>
      <c r="L29" s="209">
        <f>'Для недоотпуска (час)'!L29*60</f>
        <v>0</v>
      </c>
      <c r="M29" s="211">
        <v>0</v>
      </c>
      <c r="N29" s="213">
        <v>0</v>
      </c>
      <c r="O29" s="209">
        <v>0</v>
      </c>
      <c r="P29" s="214">
        <v>0</v>
      </c>
    </row>
    <row r="30" spans="2:16" ht="15.75" thickBot="1" x14ac:dyDescent="0.3">
      <c r="C30" s="363"/>
      <c r="D30" s="216" t="s">
        <v>68</v>
      </c>
      <c r="E30" s="217">
        <v>0</v>
      </c>
      <c r="F30" s="218">
        <f>'Для недоотпуска (час)'!F30*60</f>
        <v>0</v>
      </c>
      <c r="G30" s="219">
        <v>0</v>
      </c>
      <c r="H30" s="217">
        <v>0</v>
      </c>
      <c r="I30" s="218">
        <f>'Для недоотпуска (час)'!I30*60</f>
        <v>0</v>
      </c>
      <c r="J30" s="220">
        <v>0</v>
      </c>
      <c r="K30" s="221">
        <v>0</v>
      </c>
      <c r="L30" s="218">
        <f>'Для недоотпуска (час)'!L30*60</f>
        <v>0</v>
      </c>
      <c r="M30" s="220">
        <v>0</v>
      </c>
      <c r="N30" s="243">
        <v>0</v>
      </c>
      <c r="O30" s="242">
        <v>0</v>
      </c>
      <c r="P30" s="244">
        <v>0</v>
      </c>
    </row>
    <row r="31" spans="2:16" ht="15" customHeight="1" x14ac:dyDescent="0.25">
      <c r="C31" s="364" t="s">
        <v>47</v>
      </c>
      <c r="D31" s="222" t="s">
        <v>59</v>
      </c>
      <c r="E31" s="196" t="e">
        <f>E32+E36</f>
        <v>#REF!</v>
      </c>
      <c r="F31" s="197" t="e">
        <f>'Для недоотпуска (час)'!F31*60</f>
        <v>#REF!</v>
      </c>
      <c r="G31" s="198" t="e">
        <f>F31/E31</f>
        <v>#REF!</v>
      </c>
      <c r="H31" s="196" t="e">
        <f>H32+H36</f>
        <v>#REF!</v>
      </c>
      <c r="I31" s="197" t="e">
        <f>'Для недоотпуска (час)'!I31*60</f>
        <v>#REF!</v>
      </c>
      <c r="J31" s="198" t="e">
        <f t="shared" ref="J31:J38" si="12">I31/H31</f>
        <v>#REF!</v>
      </c>
      <c r="K31" s="196" t="e">
        <f>K32+K36</f>
        <v>#REF!</v>
      </c>
      <c r="L31" s="197" t="e">
        <f>'Для недоотпуска (час)'!L31*60</f>
        <v>#REF!</v>
      </c>
      <c r="M31" s="199" t="e">
        <f t="shared" ref="M31:M39" si="13">L31/K31</f>
        <v>#REF!</v>
      </c>
      <c r="N31" s="224" t="e">
        <f>N32+N36</f>
        <v>#REF!</v>
      </c>
      <c r="O31" s="223" t="e">
        <f>O32+O36</f>
        <v>#REF!</v>
      </c>
      <c r="P31" s="225" t="e">
        <f t="shared" ref="P31:P39" si="14">O31/N31</f>
        <v>#REF!</v>
      </c>
    </row>
    <row r="32" spans="2:16" ht="15" customHeight="1" x14ac:dyDescent="0.25">
      <c r="C32" s="362"/>
      <c r="D32" s="200" t="s">
        <v>60</v>
      </c>
      <c r="E32" s="201" t="e">
        <f>E33+E34+E35</f>
        <v>#REF!</v>
      </c>
      <c r="F32" s="202" t="e">
        <f>'Для недоотпуска (час)'!F32*60</f>
        <v>#REF!</v>
      </c>
      <c r="G32" s="203">
        <v>0</v>
      </c>
      <c r="H32" s="201" t="e">
        <f>H33+H34+H35</f>
        <v>#REF!</v>
      </c>
      <c r="I32" s="202" t="e">
        <f>'Для недоотпуска (час)'!I32*60</f>
        <v>#REF!</v>
      </c>
      <c r="J32" s="203" t="e">
        <f>I32/H32</f>
        <v>#REF!</v>
      </c>
      <c r="K32" s="201" t="e">
        <f>K33+K34+K35</f>
        <v>#REF!</v>
      </c>
      <c r="L32" s="202" t="e">
        <f>'Для недоотпуска (час)'!L32*60</f>
        <v>#REF!</v>
      </c>
      <c r="M32" s="204" t="e">
        <f>L32/K32</f>
        <v>#REF!</v>
      </c>
      <c r="N32" s="205" t="e">
        <f>N33+N34+N35</f>
        <v>#REF!</v>
      </c>
      <c r="O32" s="202" t="e">
        <f>O33+O34+O35</f>
        <v>#REF!</v>
      </c>
      <c r="P32" s="206" t="e">
        <f t="shared" si="14"/>
        <v>#REF!</v>
      </c>
    </row>
    <row r="33" spans="2:16" x14ac:dyDescent="0.25">
      <c r="C33" s="362"/>
      <c r="D33" s="207" t="s">
        <v>61</v>
      </c>
      <c r="E33" s="208" t="e">
        <f>COUNTIFS(Январь!C3:C149, "ВЛ", Январь!D3:D149, "0,4", Январь!#REF!, "Пригородные ЭС")</f>
        <v>#REF!</v>
      </c>
      <c r="F33" s="209" t="e">
        <f>'Для недоотпуска (час)'!F33*60</f>
        <v>#REF!</v>
      </c>
      <c r="G33" s="210">
        <v>0</v>
      </c>
      <c r="H33" s="208" t="e">
        <f>COUNTIFS(Февраль!C3:C133, "ВЛ", Февраль!D3:D133, "0,4", Февраль!#REF!, "Пригородные ЭС")</f>
        <v>#REF!</v>
      </c>
      <c r="I33" s="209" t="e">
        <f>'Для недоотпуска (час)'!I33*60</f>
        <v>#REF!</v>
      </c>
      <c r="J33" s="210">
        <v>0</v>
      </c>
      <c r="K33" s="212" t="e">
        <f>COUNTIFS(Март!C6:C155, "ВЛ", Март!D6:D155, "0,4", Март!#REF!, "Пригородные ЭС")</f>
        <v>#REF!</v>
      </c>
      <c r="L33" s="209" t="e">
        <f>'Для недоотпуска (час)'!L33*60</f>
        <v>#REF!</v>
      </c>
      <c r="M33" s="211">
        <v>0</v>
      </c>
      <c r="N33" s="213" t="e">
        <f t="shared" ref="N33:O35" si="15">E33+H33+K33</f>
        <v>#REF!</v>
      </c>
      <c r="O33" s="209" t="e">
        <f t="shared" si="15"/>
        <v>#REF!</v>
      </c>
      <c r="P33" s="214">
        <v>0</v>
      </c>
    </row>
    <row r="34" spans="2:16" x14ac:dyDescent="0.25">
      <c r="C34" s="362"/>
      <c r="D34" s="207" t="s">
        <v>62</v>
      </c>
      <c r="E34" s="208" t="e">
        <f>COUNTIFS(Январь!C3:C149, "КЛ", Январь!D3:D149, "0,4", Январь!#REF!, "Пригородные ЭС")</f>
        <v>#REF!</v>
      </c>
      <c r="F34" s="209" t="e">
        <f>'Для недоотпуска (час)'!F34*60</f>
        <v>#REF!</v>
      </c>
      <c r="G34" s="210">
        <v>0</v>
      </c>
      <c r="H34" s="208" t="e">
        <f>COUNTIFS(Февраль!C3:C133, "КЛ", Февраль!D3:D133, "0,4", Февраль!#REF!, "Пригородные ЭС")</f>
        <v>#REF!</v>
      </c>
      <c r="I34" s="209" t="e">
        <f>'Для недоотпуска (час)'!I34*60</f>
        <v>#REF!</v>
      </c>
      <c r="J34" s="210" t="e">
        <f>I34/H34</f>
        <v>#REF!</v>
      </c>
      <c r="K34" s="212" t="e">
        <f>COUNTIFS(Март!C6:C155, "КЛ", Март!D6:D155, "0,4", Март!#REF!, "Пригородные ЭС")</f>
        <v>#REF!</v>
      </c>
      <c r="L34" s="209" t="e">
        <f>'Для недоотпуска (час)'!L34*60</f>
        <v>#REF!</v>
      </c>
      <c r="M34" s="211" t="e">
        <f>L34/K34</f>
        <v>#REF!</v>
      </c>
      <c r="N34" s="213" t="e">
        <f t="shared" si="15"/>
        <v>#REF!</v>
      </c>
      <c r="O34" s="209" t="e">
        <f t="shared" si="15"/>
        <v>#REF!</v>
      </c>
      <c r="P34" s="214" t="e">
        <f>O34/N34</f>
        <v>#REF!</v>
      </c>
    </row>
    <row r="35" spans="2:16" x14ac:dyDescent="0.25">
      <c r="C35" s="362"/>
      <c r="D35" s="207" t="s">
        <v>63</v>
      </c>
      <c r="E35" s="208" t="e">
        <f>COUNTIFS(Январь!C3:C149, "ТП", Январь!D3:D149, "0,4", Январь!#REF!, "Пригородные ЭС")</f>
        <v>#REF!</v>
      </c>
      <c r="F35" s="209" t="e">
        <f>'Для недоотпуска (час)'!F35*60</f>
        <v>#REF!</v>
      </c>
      <c r="G35" s="210">
        <v>0</v>
      </c>
      <c r="H35" s="208" t="e">
        <f>COUNTIFS(Февраль!C3:C133, "ТП", Февраль!D3:D133, "0,4", Февраль!#REF!, "Пригородные ЭС")</f>
        <v>#REF!</v>
      </c>
      <c r="I35" s="209" t="e">
        <f>'Для недоотпуска (час)'!I35*60</f>
        <v>#REF!</v>
      </c>
      <c r="J35" s="210" t="e">
        <f>I35/H35</f>
        <v>#REF!</v>
      </c>
      <c r="K35" s="212" t="e">
        <f>COUNTIFS(Март!C6:C155, "ТП", Март!D6:D155, "0,4", Март!#REF!, "Пригородные ЭС")</f>
        <v>#REF!</v>
      </c>
      <c r="L35" s="209" t="e">
        <f>'Для недоотпуска (час)'!L35*60</f>
        <v>#REF!</v>
      </c>
      <c r="M35" s="211" t="e">
        <f>L35/K35</f>
        <v>#REF!</v>
      </c>
      <c r="N35" s="213" t="e">
        <f t="shared" si="15"/>
        <v>#REF!</v>
      </c>
      <c r="O35" s="209" t="e">
        <f t="shared" si="15"/>
        <v>#REF!</v>
      </c>
      <c r="P35" s="214" t="e">
        <f t="shared" si="14"/>
        <v>#REF!</v>
      </c>
    </row>
    <row r="36" spans="2:16" x14ac:dyDescent="0.25">
      <c r="C36" s="362"/>
      <c r="D36" s="200" t="s">
        <v>64</v>
      </c>
      <c r="E36" s="201" t="e">
        <f>E37+E38+E39+E40+E41+E42</f>
        <v>#REF!</v>
      </c>
      <c r="F36" s="202" t="e">
        <f>'Для недоотпуска (час)'!F36*60</f>
        <v>#REF!</v>
      </c>
      <c r="G36" s="203" t="e">
        <f t="shared" ref="G36:G39" si="16">F36/E36</f>
        <v>#REF!</v>
      </c>
      <c r="H36" s="201" t="e">
        <f>H37+H38+H39+H40+H41+H42</f>
        <v>#REF!</v>
      </c>
      <c r="I36" s="202" t="e">
        <f>'Для недоотпуска (час)'!I36*60</f>
        <v>#REF!</v>
      </c>
      <c r="J36" s="203" t="e">
        <f t="shared" si="12"/>
        <v>#REF!</v>
      </c>
      <c r="K36" s="201" t="e">
        <f>K37+K38+K39+K40+K41+K42</f>
        <v>#REF!</v>
      </c>
      <c r="L36" s="202" t="e">
        <f>'Для недоотпуска (час)'!L36*60</f>
        <v>#REF!</v>
      </c>
      <c r="M36" s="204" t="e">
        <f t="shared" si="13"/>
        <v>#REF!</v>
      </c>
      <c r="N36" s="205" t="e">
        <f>N37+N38+N39+N40+N41+N42</f>
        <v>#REF!</v>
      </c>
      <c r="O36" s="202" t="e">
        <f>O37+O38+O39+O40+O41+O42</f>
        <v>#REF!</v>
      </c>
      <c r="P36" s="206" t="e">
        <f t="shared" si="14"/>
        <v>#REF!</v>
      </c>
    </row>
    <row r="37" spans="2:16" ht="15.75" customHeight="1" x14ac:dyDescent="0.25">
      <c r="C37" s="362"/>
      <c r="D37" s="207" t="s">
        <v>61</v>
      </c>
      <c r="E37" s="208" t="e">
        <f>COUNTIFS(Январь!C3:C149, "ВЛ", Январь!D3:D149, "6", Январь!#REF!, "Пригородные ЭС")+COUNTIFS(Январь!C3:C149, "ВЛ", Январь!D3:D149, "10", Январь!#REF!, "Пригородные ЭС")+COUNTIFS(Январь!C3:C149, "ВЛ", Январь!D3:D149, "35", Январь!#REF!, "Пригородные ЭС")+COUNTIFS(Январь!C3:C149, "ВЛ", Январь!D3:D149, "110", Январь!#REF!, "Пригородные ЭС")</f>
        <v>#REF!</v>
      </c>
      <c r="F37" s="209" t="e">
        <f>'Для недоотпуска (час)'!F37*60</f>
        <v>#REF!</v>
      </c>
      <c r="G37" s="210" t="e">
        <f t="shared" si="16"/>
        <v>#REF!</v>
      </c>
      <c r="H37" s="208" t="e">
        <f>COUNTIFS(Февраль!C3:C133, "ВЛ", Февраль!D3:D133, "6", Февраль!#REF!, "Пригородные ЭС")+COUNTIFS(Февраль!C3:C133, "ВЛ", Февраль!D3:D133, "10", Февраль!#REF!, "Пригородные ЭС")+COUNTIFS(Февраль!C3:C133, "ВЛ", Февраль!D3:D133, "35", Февраль!#REF!, "Пригородные ЭС")+COUNTIFS(Февраль!C3:C133, "ВЛ", Февраль!D3:D133, "110", Февраль!#REF!, "Пригородные ЭС")</f>
        <v>#REF!</v>
      </c>
      <c r="I37" s="209" t="e">
        <f>'Для недоотпуска (час)'!I37*60</f>
        <v>#REF!</v>
      </c>
      <c r="J37" s="210" t="e">
        <f t="shared" si="12"/>
        <v>#REF!</v>
      </c>
      <c r="K37" s="212" t="e">
        <f>COUNTIFS(Март!C6:C155, "ВЛ", Март!D6:D155, "6", Март!#REF!, "Пригородные ЭС")+COUNTIFS(Март!C6:C155, "ВЛ", Март!D6:D155, "10", Март!#REF!, "Пригородные ЭС")+COUNTIFS(Март!C6:C155, "ВЛ", Март!D6:D155, "35", Март!#REF!, "Пригородные ЭС")+COUNTIFS(Март!C6:C155, "ВЛ", Март!D6:D155, "110", Март!#REF!, "Пригородные ЭС")</f>
        <v>#REF!</v>
      </c>
      <c r="L37" s="209" t="e">
        <f>'Для недоотпуска (час)'!L37*60</f>
        <v>#REF!</v>
      </c>
      <c r="M37" s="211" t="e">
        <f t="shared" si="13"/>
        <v>#REF!</v>
      </c>
      <c r="N37" s="213" t="e">
        <f t="shared" ref="N37:O39" si="17">E37+H37+K37</f>
        <v>#REF!</v>
      </c>
      <c r="O37" s="209" t="e">
        <f t="shared" si="17"/>
        <v>#REF!</v>
      </c>
      <c r="P37" s="214" t="e">
        <f t="shared" si="14"/>
        <v>#REF!</v>
      </c>
    </row>
    <row r="38" spans="2:16" x14ac:dyDescent="0.25">
      <c r="C38" s="362"/>
      <c r="D38" s="207" t="s">
        <v>62</v>
      </c>
      <c r="E38" s="208" t="e">
        <f>COUNTIFS(Январь!C3:C149, "КЛ", Январь!D3:D149, "6", Январь!#REF!, "Пригородные ЭС")+COUNTIFS(Январь!C3:C149, "КЛ", Январь!D3:D149, "10", Январь!#REF!, "Пригородные ЭС")+COUNTIFS(Январь!C3:C149, "КЛ", Январь!D3:D149, "35", Январь!#REF!, "Пригородные ЭС")+COUNTIFS(Январь!C3:C149, "КЛ", Январь!D3:D149, "110", Январь!#REF!, "Пригородные ЭС")</f>
        <v>#REF!</v>
      </c>
      <c r="F38" s="209" t="e">
        <f>'Для недоотпуска (час)'!F38*60</f>
        <v>#REF!</v>
      </c>
      <c r="G38" s="210" t="e">
        <f t="shared" si="16"/>
        <v>#REF!</v>
      </c>
      <c r="H38" s="208" t="e">
        <f>COUNTIFS(Февраль!C3:C133, "КЛ", Февраль!D3:D133, "6", Февраль!#REF!, "Пригородные ЭС")+COUNTIFS(Февраль!C3:C133, "КЛ", Февраль!D3:D133, "10", Февраль!#REF!, "Пригородные ЭС")+COUNTIFS(Февраль!C3:C133, "КЛ", Февраль!D3:D133, "35", Февраль!#REF!, "Пригородные ЭС")+COUNTIFS(Февраль!C3:C133, "КЛ", Февраль!D3:D133, "110", Февраль!#REF!, "Пригородные ЭС")</f>
        <v>#REF!</v>
      </c>
      <c r="I38" s="209" t="e">
        <f>'Для недоотпуска (час)'!I38*60</f>
        <v>#REF!</v>
      </c>
      <c r="J38" s="210" t="e">
        <f t="shared" si="12"/>
        <v>#REF!</v>
      </c>
      <c r="K38" s="212" t="e">
        <f>COUNTIFS(Март!C6:C155, "КЛ", Март!D6:D155, "6", Март!#REF!, "Пригородные ЭС")+COUNTIFS(Март!C6:C155, "КЛ", Март!D6:D155, "10", Март!#REF!, "Пригородные ЭС")+COUNTIFS(Март!C6:C155, "КЛ", Март!D6:D155, "35", Март!#REF!, "Пригородные ЭС")+COUNTIFS(Март!C6:C155, "КЛ", Март!D6:D155, "110", Март!#REF!, "Пригородные ЭС")</f>
        <v>#REF!</v>
      </c>
      <c r="L38" s="209" t="e">
        <f>'Для недоотпуска (час)'!L38*60</f>
        <v>#REF!</v>
      </c>
      <c r="M38" s="211" t="e">
        <f t="shared" si="13"/>
        <v>#REF!</v>
      </c>
      <c r="N38" s="213" t="e">
        <f t="shared" si="17"/>
        <v>#REF!</v>
      </c>
      <c r="O38" s="209" t="e">
        <f t="shared" si="17"/>
        <v>#REF!</v>
      </c>
      <c r="P38" s="214" t="e">
        <f t="shared" si="14"/>
        <v>#REF!</v>
      </c>
    </row>
    <row r="39" spans="2:16" x14ac:dyDescent="0.25">
      <c r="C39" s="362"/>
      <c r="D39" s="207" t="s">
        <v>65</v>
      </c>
      <c r="E39" s="208" t="e">
        <f>COUNTIFS(Январь!C3:C149, "ТП", Январь!D3:D149, "6", Январь!#REF!, "Пригородные ЭС")+COUNTIFS(Январь!C3:C149, "ТП", Январь!D3:D149, "10", Январь!#REF!, "Пригородные ЭС")+COUNTIFS(Январь!C3:C149, "ПС", Январь!D3:D149, "6", Январь!#REF!, "Пригородные ЭС")+COUNTIFS(Январь!C3:C149, "ПС", Январь!D3:D149, "10", Январь!#REF!, "Пригородные ЭС")+COUNTIFS(Январь!C3:C149, "РП", Январь!D3:D149, "6", Январь!#REF!, "Пригородные ЭС")+COUNTIFS(Январь!C3:C149, "РП", Январь!D3:D149, "10", Январь!#REF!, "Пригородные ЭС")</f>
        <v>#REF!</v>
      </c>
      <c r="F39" s="209" t="e">
        <f>'Для недоотпуска (час)'!F39*60</f>
        <v>#REF!</v>
      </c>
      <c r="G39" s="210" t="e">
        <f t="shared" si="16"/>
        <v>#REF!</v>
      </c>
      <c r="H39" s="208" t="e">
        <f>COUNTIFS(Февраль!C3:C133, "ТП", Февраль!D3:D133, "6", Февраль!#REF!, "Пригородные ЭС")+COUNTIFS(Февраль!C3:C133, "ТП", Февраль!D3:D133, "10", Февраль!#REF!, "Пригородные ЭС")+COUNTIFS(Февраль!C3:C133, "ПС", Февраль!D3:D133, "6", Февраль!#REF!, "Пригородные ЭС")+COUNTIFS(Февраль!C3:C133, "ПС", Февраль!D3:D133, "10", Февраль!#REF!, "Пригородные ЭС")</f>
        <v>#REF!</v>
      </c>
      <c r="I39" s="209" t="e">
        <f>'Для недоотпуска (час)'!I39*60</f>
        <v>#REF!</v>
      </c>
      <c r="J39" s="210" t="e">
        <f>I39/H39</f>
        <v>#REF!</v>
      </c>
      <c r="K39" s="212" t="e">
        <f>COUNTIFS(Март!C6:C155, "ТП", Март!D6:D155, "6", Март!#REF!, "Пригородные ЭС")+COUNTIFS(Март!C6:C155, "ТП", Март!D6:D155, "10", Март!#REF!, "Пригородные ЭС")+COUNTIFS(Март!C6:C155, "ПС", Март!D6:D155, "6", Март!#REF!, "Пригородные ЭС")+COUNTIFS(Март!C6:C155, "ПС", Март!D6:D155, "10", Март!#REF!, "Пригородные ЭС")</f>
        <v>#REF!</v>
      </c>
      <c r="L39" s="209" t="e">
        <f>'Для недоотпуска (час)'!L39*60</f>
        <v>#REF!</v>
      </c>
      <c r="M39" s="211" t="e">
        <f t="shared" si="13"/>
        <v>#REF!</v>
      </c>
      <c r="N39" s="213" t="e">
        <f>E39+H39+K39</f>
        <v>#REF!</v>
      </c>
      <c r="O39" s="209" t="e">
        <f t="shared" si="17"/>
        <v>#REF!</v>
      </c>
      <c r="P39" s="214" t="e">
        <f t="shared" si="14"/>
        <v>#REF!</v>
      </c>
    </row>
    <row r="40" spans="2:16" x14ac:dyDescent="0.25">
      <c r="C40" s="362"/>
      <c r="D40" s="207" t="s">
        <v>66</v>
      </c>
      <c r="E40" s="208">
        <v>0</v>
      </c>
      <c r="F40" s="209">
        <f>'Для недоотпуска (час)'!F40*60</f>
        <v>0</v>
      </c>
      <c r="G40" s="210">
        <v>0</v>
      </c>
      <c r="H40" s="208">
        <v>0</v>
      </c>
      <c r="I40" s="209">
        <f>'Для недоотпуска (час)'!I40*60</f>
        <v>0</v>
      </c>
      <c r="J40" s="211">
        <v>0</v>
      </c>
      <c r="K40" s="212">
        <v>0</v>
      </c>
      <c r="L40" s="209">
        <f>'Для недоотпуска (час)'!L40*60</f>
        <v>0</v>
      </c>
      <c r="M40" s="211">
        <v>0</v>
      </c>
      <c r="N40" s="213">
        <v>0</v>
      </c>
      <c r="O40" s="209">
        <v>0</v>
      </c>
      <c r="P40" s="214">
        <v>0</v>
      </c>
    </row>
    <row r="41" spans="2:16" ht="18.75" x14ac:dyDescent="0.3">
      <c r="B41" s="215"/>
      <c r="C41" s="362"/>
      <c r="D41" s="207" t="s">
        <v>67</v>
      </c>
      <c r="E41" s="208">
        <v>0</v>
      </c>
      <c r="F41" s="209">
        <f>'Для недоотпуска (час)'!F41*60</f>
        <v>0</v>
      </c>
      <c r="G41" s="210">
        <v>0</v>
      </c>
      <c r="H41" s="208">
        <v>0</v>
      </c>
      <c r="I41" s="209">
        <f>'Для недоотпуска (час)'!I41*60</f>
        <v>0</v>
      </c>
      <c r="J41" s="211">
        <v>0</v>
      </c>
      <c r="K41" s="212">
        <v>0</v>
      </c>
      <c r="L41" s="209">
        <f>'Для недоотпуска (час)'!L41*60</f>
        <v>0</v>
      </c>
      <c r="M41" s="211">
        <v>0</v>
      </c>
      <c r="N41" s="213">
        <f>K41+H41+E41</f>
        <v>0</v>
      </c>
      <c r="O41" s="209">
        <f>L41+I41+F41</f>
        <v>0</v>
      </c>
      <c r="P41" s="214">
        <v>0</v>
      </c>
    </row>
    <row r="42" spans="2:16" ht="15.75" thickBot="1" x14ac:dyDescent="0.3">
      <c r="C42" s="363"/>
      <c r="D42" s="216" t="s">
        <v>68</v>
      </c>
      <c r="E42" s="217">
        <v>0</v>
      </c>
      <c r="F42" s="218">
        <f>'Для недоотпуска (час)'!F42*60</f>
        <v>0</v>
      </c>
      <c r="G42" s="219">
        <v>0</v>
      </c>
      <c r="H42" s="217">
        <v>0</v>
      </c>
      <c r="I42" s="218">
        <f>'Для недоотпуска (час)'!I42*60</f>
        <v>0</v>
      </c>
      <c r="J42" s="220">
        <v>0</v>
      </c>
      <c r="K42" s="221">
        <v>0</v>
      </c>
      <c r="L42" s="218">
        <f>'Для недоотпуска (час)'!L42*60</f>
        <v>0</v>
      </c>
      <c r="M42" s="220">
        <v>0</v>
      </c>
      <c r="N42" s="243">
        <v>0</v>
      </c>
      <c r="O42" s="242">
        <v>0</v>
      </c>
      <c r="P42" s="244">
        <v>0</v>
      </c>
    </row>
    <row r="43" spans="2:16" ht="15" customHeight="1" x14ac:dyDescent="0.25">
      <c r="C43" s="364" t="s">
        <v>48</v>
      </c>
      <c r="D43" s="222" t="s">
        <v>59</v>
      </c>
      <c r="E43" s="196" t="e">
        <f>E44+E48</f>
        <v>#REF!</v>
      </c>
      <c r="F43" s="197" t="e">
        <f>'Для недоотпуска (час)'!F43*60</f>
        <v>#REF!</v>
      </c>
      <c r="G43" s="198" t="e">
        <f t="shared" ref="G43:G50" si="18">F43/E43</f>
        <v>#REF!</v>
      </c>
      <c r="H43" s="196" t="e">
        <f>H44+H48</f>
        <v>#REF!</v>
      </c>
      <c r="I43" s="197" t="e">
        <f>'Для недоотпуска (час)'!I43*60</f>
        <v>#REF!</v>
      </c>
      <c r="J43" s="198" t="e">
        <f t="shared" ref="J43:J50" si="19">I43/H43</f>
        <v>#REF!</v>
      </c>
      <c r="K43" s="196" t="e">
        <f>K44+K48</f>
        <v>#REF!</v>
      </c>
      <c r="L43" s="197" t="e">
        <f>'Для недоотпуска (час)'!L43*60</f>
        <v>#REF!</v>
      </c>
      <c r="M43" s="199" t="e">
        <f t="shared" ref="M43:M50" si="20">L43/K43</f>
        <v>#REF!</v>
      </c>
      <c r="N43" s="224" t="e">
        <f>N44+N48</f>
        <v>#REF!</v>
      </c>
      <c r="O43" s="223" t="e">
        <f>O44+O48</f>
        <v>#REF!</v>
      </c>
      <c r="P43" s="225" t="e">
        <f t="shared" ref="P43:P51" si="21">O43/N43</f>
        <v>#REF!</v>
      </c>
    </row>
    <row r="44" spans="2:16" ht="15.75" customHeight="1" x14ac:dyDescent="0.25">
      <c r="C44" s="362"/>
      <c r="D44" s="200" t="s">
        <v>60</v>
      </c>
      <c r="E44" s="201" t="e">
        <f>E45+E46+E47</f>
        <v>#REF!</v>
      </c>
      <c r="F44" s="202" t="e">
        <f>'Для недоотпуска (час)'!F44*60</f>
        <v>#REF!</v>
      </c>
      <c r="G44" s="203" t="e">
        <f t="shared" si="18"/>
        <v>#REF!</v>
      </c>
      <c r="H44" s="201" t="e">
        <f>H45+H46+H47</f>
        <v>#REF!</v>
      </c>
      <c r="I44" s="202" t="e">
        <f>'Для недоотпуска (час)'!I44*60</f>
        <v>#REF!</v>
      </c>
      <c r="J44" s="203" t="e">
        <f t="shared" si="19"/>
        <v>#REF!</v>
      </c>
      <c r="K44" s="201" t="e">
        <f>K45+K46+K47</f>
        <v>#REF!</v>
      </c>
      <c r="L44" s="202" t="e">
        <f>'Для недоотпуска (час)'!L44*60</f>
        <v>#REF!</v>
      </c>
      <c r="M44" s="204">
        <v>0</v>
      </c>
      <c r="N44" s="205" t="e">
        <f>N45+N46+N47</f>
        <v>#REF!</v>
      </c>
      <c r="O44" s="202" t="e">
        <f>O45+O46+O47</f>
        <v>#REF!</v>
      </c>
      <c r="P44" s="206" t="e">
        <f t="shared" si="21"/>
        <v>#REF!</v>
      </c>
    </row>
    <row r="45" spans="2:16" x14ac:dyDescent="0.25">
      <c r="C45" s="362"/>
      <c r="D45" s="207" t="s">
        <v>61</v>
      </c>
      <c r="E45" s="208" t="e">
        <f>COUNTIFS(Январь!C3:C149, "ВЛ", Январь!D3:D149, "0,4", Январь!#REF!, "Северные ЭС")</f>
        <v>#REF!</v>
      </c>
      <c r="F45" s="209" t="e">
        <f>'Для недоотпуска (час)'!F45*60</f>
        <v>#REF!</v>
      </c>
      <c r="G45" s="210">
        <v>0</v>
      </c>
      <c r="H45" s="208" t="e">
        <f>COUNTIFS(Февраль!C3:C133, "ВЛ", Февраль!D3:D133, "0,4", Февраль!#REF!, "Северные ЭС")</f>
        <v>#REF!</v>
      </c>
      <c r="I45" s="209" t="e">
        <f>'Для недоотпуска (час)'!I45*60</f>
        <v>#REF!</v>
      </c>
      <c r="J45" s="210" t="e">
        <f t="shared" si="19"/>
        <v>#REF!</v>
      </c>
      <c r="K45" s="212" t="e">
        <f>COUNTIFS(Март!C6:C155, "ВЛ", Март!D6:D155, "0,4", Март!#REF!, "Северные ЭС")</f>
        <v>#REF!</v>
      </c>
      <c r="L45" s="209" t="e">
        <f>'Для недоотпуска (час)'!L45*60</f>
        <v>#REF!</v>
      </c>
      <c r="M45" s="211">
        <v>0</v>
      </c>
      <c r="N45" s="213" t="e">
        <f t="shared" ref="N45:O47" si="22">E45+H45+K45</f>
        <v>#REF!</v>
      </c>
      <c r="O45" s="209" t="e">
        <f t="shared" si="22"/>
        <v>#REF!</v>
      </c>
      <c r="P45" s="214" t="e">
        <f t="shared" si="21"/>
        <v>#REF!</v>
      </c>
    </row>
    <row r="46" spans="2:16" ht="15.75" customHeight="1" x14ac:dyDescent="0.25">
      <c r="C46" s="362"/>
      <c r="D46" s="207" t="s">
        <v>62</v>
      </c>
      <c r="E46" s="208" t="e">
        <f>COUNTIFS(Январь!C3:C149, "КЛ", Январь!D3:D149, "0,4", Январь!#REF!, "Северные ЭС")</f>
        <v>#REF!</v>
      </c>
      <c r="F46" s="209" t="e">
        <f>'Для недоотпуска (час)'!F46*60</f>
        <v>#REF!</v>
      </c>
      <c r="G46" s="210" t="e">
        <f>F46/E46</f>
        <v>#REF!</v>
      </c>
      <c r="H46" s="208" t="e">
        <f>COUNTIFS(Февраль!C3:C133, "КЛ", Февраль!D3:D133, "0,4", Февраль!#REF!, "Северные ЭС")</f>
        <v>#REF!</v>
      </c>
      <c r="I46" s="209" t="e">
        <f>'Для недоотпуска (час)'!I46*60</f>
        <v>#REF!</v>
      </c>
      <c r="J46" s="210" t="e">
        <f>I46/H46</f>
        <v>#REF!</v>
      </c>
      <c r="K46" s="212" t="e">
        <f>COUNTIFS(Март!C6:C155, "КЛ", Март!D6:D155, "0,4", Март!#REF!, "Северные ЭС")</f>
        <v>#REF!</v>
      </c>
      <c r="L46" s="209" t="e">
        <f>'Для недоотпуска (час)'!L46*60</f>
        <v>#REF!</v>
      </c>
      <c r="M46" s="211">
        <v>0</v>
      </c>
      <c r="N46" s="213" t="e">
        <f t="shared" si="22"/>
        <v>#REF!</v>
      </c>
      <c r="O46" s="209" t="e">
        <f t="shared" si="22"/>
        <v>#REF!</v>
      </c>
      <c r="P46" s="214" t="e">
        <f t="shared" si="21"/>
        <v>#REF!</v>
      </c>
    </row>
    <row r="47" spans="2:16" x14ac:dyDescent="0.25">
      <c r="C47" s="362"/>
      <c r="D47" s="207" t="s">
        <v>63</v>
      </c>
      <c r="E47" s="208" t="e">
        <f>COUNTIFS(Январь!C3:C149, "ТП", Январь!D3:D149, "0,4", Январь!#REF!, "Северные ЭС")</f>
        <v>#REF!</v>
      </c>
      <c r="F47" s="209" t="e">
        <f>'Для недоотпуска (час)'!F47*60</f>
        <v>#REF!</v>
      </c>
      <c r="G47" s="210">
        <v>0</v>
      </c>
      <c r="H47" s="208" t="e">
        <f>COUNTIFS(Февраль!C3:C133, "ТП", Февраль!D3:D133, "0,4", Февраль!#REF!, "Северные ЭС")</f>
        <v>#REF!</v>
      </c>
      <c r="I47" s="209" t="e">
        <f>'Для недоотпуска (час)'!I47*60</f>
        <v>#REF!</v>
      </c>
      <c r="J47" s="210" t="e">
        <f>I47/H47</f>
        <v>#REF!</v>
      </c>
      <c r="K47" s="212" t="e">
        <f>COUNTIFS(Март!C6:C155, "ТП", Март!D6:D155, "0,4", Март!#REF!, "Северные ЭС")</f>
        <v>#REF!</v>
      </c>
      <c r="L47" s="209" t="e">
        <f>'Для недоотпуска (час)'!L47*60</f>
        <v>#REF!</v>
      </c>
      <c r="M47" s="211">
        <v>0</v>
      </c>
      <c r="N47" s="213" t="e">
        <f t="shared" si="22"/>
        <v>#REF!</v>
      </c>
      <c r="O47" s="209" t="e">
        <f t="shared" si="22"/>
        <v>#REF!</v>
      </c>
      <c r="P47" s="214" t="e">
        <f t="shared" si="21"/>
        <v>#REF!</v>
      </c>
    </row>
    <row r="48" spans="2:16" x14ac:dyDescent="0.25">
      <c r="C48" s="362"/>
      <c r="D48" s="200" t="s">
        <v>64</v>
      </c>
      <c r="E48" s="201" t="e">
        <f>E49+E50+E51+E52+E53+E54</f>
        <v>#REF!</v>
      </c>
      <c r="F48" s="202" t="e">
        <f>'Для недоотпуска (час)'!F48*60</f>
        <v>#REF!</v>
      </c>
      <c r="G48" s="203" t="e">
        <f t="shared" si="18"/>
        <v>#REF!</v>
      </c>
      <c r="H48" s="201" t="e">
        <f>H49+H50+H51+H52+H53+H54</f>
        <v>#REF!</v>
      </c>
      <c r="I48" s="202" t="e">
        <f>'Для недоотпуска (час)'!I48*60</f>
        <v>#REF!</v>
      </c>
      <c r="J48" s="203" t="e">
        <f t="shared" si="19"/>
        <v>#REF!</v>
      </c>
      <c r="K48" s="201" t="e">
        <f>K49+K50+K51+K52+K53+K54</f>
        <v>#REF!</v>
      </c>
      <c r="L48" s="202" t="e">
        <f>'Для недоотпуска (час)'!L48*60</f>
        <v>#REF!</v>
      </c>
      <c r="M48" s="204" t="e">
        <f t="shared" si="20"/>
        <v>#REF!</v>
      </c>
      <c r="N48" s="205" t="e">
        <f>N49+N50+N51+N52+N53+N54</f>
        <v>#REF!</v>
      </c>
      <c r="O48" s="202" t="e">
        <f>O49+O50+O51+O52+O53+O54</f>
        <v>#REF!</v>
      </c>
      <c r="P48" s="206" t="e">
        <f t="shared" si="21"/>
        <v>#REF!</v>
      </c>
    </row>
    <row r="49" spans="2:16" x14ac:dyDescent="0.25">
      <c r="C49" s="362"/>
      <c r="D49" s="207" t="s">
        <v>61</v>
      </c>
      <c r="E49" s="208" t="e">
        <f>COUNTIFS(Январь!C3:C149, "ВЛ", Январь!D3:D149, "6", Январь!#REF!, "Северные ЭС")+COUNTIFS(Январь!C3:C149, "ВЛ", Январь!D3:D149, "10", Январь!#REF!, "Северные ЭС")+COUNTIFS(Январь!C3:C149, "ВЛ", Январь!D3:D149, "35", Январь!#REF!, "Северные ЭС")+COUNTIFS(Январь!C3:C149, "ВЛ", Январь!D3:D149, "110", Январь!#REF!, "Северные ЭС")</f>
        <v>#REF!</v>
      </c>
      <c r="F49" s="209" t="e">
        <f>'Для недоотпуска (час)'!F49*60</f>
        <v>#REF!</v>
      </c>
      <c r="G49" s="210" t="e">
        <f t="shared" si="18"/>
        <v>#REF!</v>
      </c>
      <c r="H49" s="208" t="e">
        <f>COUNTIFS(Февраль!C3:C133, "ВЛ", Февраль!D3:D133, "6", Февраль!#REF!, "Северные ЭС")+COUNTIFS(Февраль!C3:C133, "ВЛ", Февраль!D3:D133, "10", Февраль!#REF!, "Северные ЭС")+COUNTIFS(Февраль!C3:C133, "ВЛ", Февраль!D3:D133, "35", Февраль!#REF!, "Северные ЭС")+COUNTIFS(Февраль!C3:C133, "ВЛ", Февраль!D3:D133, "110", Февраль!#REF!, "Северные ЭС")</f>
        <v>#REF!</v>
      </c>
      <c r="I49" s="209" t="e">
        <f>'Для недоотпуска (час)'!I49*60</f>
        <v>#REF!</v>
      </c>
      <c r="J49" s="210" t="e">
        <f>I49/H49</f>
        <v>#REF!</v>
      </c>
      <c r="K49" s="212" t="e">
        <f>COUNTIFS(Март!C6:C155, "ВЛ", Март!D6:D155, "6", Март!#REF!, "Северные ЭС")+COUNTIFS(Март!C6:C155, "ВЛ", Март!D6:D155, "10", Март!#REF!, "Северные ЭС")+COUNTIFS(Март!C6:C155, "ВЛ", Март!D6:D155, "35", Март!#REF!, "Северные ЭС")+COUNTIFS(Март!C6:C155, "ВЛ", Март!D6:D155, "110", Март!#REF!, "Северные ЭС")</f>
        <v>#REF!</v>
      </c>
      <c r="L49" s="209" t="e">
        <f>'Для недоотпуска (час)'!L49*60</f>
        <v>#REF!</v>
      </c>
      <c r="M49" s="211" t="e">
        <f>L49/K49</f>
        <v>#REF!</v>
      </c>
      <c r="N49" s="213" t="e">
        <f t="shared" ref="N49:O52" si="23">E49+H49+K49</f>
        <v>#REF!</v>
      </c>
      <c r="O49" s="209" t="e">
        <f t="shared" si="23"/>
        <v>#REF!</v>
      </c>
      <c r="P49" s="214" t="e">
        <f t="shared" si="21"/>
        <v>#REF!</v>
      </c>
    </row>
    <row r="50" spans="2:16" x14ac:dyDescent="0.25">
      <c r="C50" s="362"/>
      <c r="D50" s="207" t="s">
        <v>62</v>
      </c>
      <c r="E50" s="208" t="e">
        <f>COUNTIFS(Январь!C3:C149, "КЛ", Январь!D3:D149, "6", Январь!#REF!, "Северные ЭС")+COUNTIFS(Январь!C3:C149, "КЛ", Январь!D3:D149, "10", Январь!#REF!, "Северные ЭС")+COUNTIFS(Январь!C3:C149, "КЛ", Январь!D3:D149, "35", Январь!#REF!, "Северные ЭС")+COUNTIFS(Январь!C3:C149, "КЛ", Январь!D3:D149, "110", Январь!#REF!, "Северные ЭС")</f>
        <v>#REF!</v>
      </c>
      <c r="F50" s="209" t="e">
        <f>'Для недоотпуска (час)'!F50*60</f>
        <v>#REF!</v>
      </c>
      <c r="G50" s="210" t="e">
        <f t="shared" si="18"/>
        <v>#REF!</v>
      </c>
      <c r="H50" s="208" t="e">
        <f>COUNTIFS(Февраль!C3:C133, "КЛ", Февраль!D3:D133, "6", Февраль!#REF!, "Северные ЭС")+COUNTIFS(Февраль!C3:C133, "КЛ", Февраль!D3:D133, "10", Февраль!#REF!, "Северные ЭС")+COUNTIFS(Февраль!C3:C133, "КЛ", Февраль!D3:D133, "35", Февраль!#REF!, "Северные ЭС")+COUNTIFS(Февраль!C3:C133, "КЛ", Февраль!D3:D133, "110", Февраль!#REF!, "Северные ЭС")</f>
        <v>#REF!</v>
      </c>
      <c r="I50" s="209" t="e">
        <f>'Для недоотпуска (час)'!I50*60</f>
        <v>#REF!</v>
      </c>
      <c r="J50" s="210" t="e">
        <f t="shared" si="19"/>
        <v>#REF!</v>
      </c>
      <c r="K50" s="212" t="e">
        <f>COUNTIFS(Март!C6:C155, "КЛ", Март!D6:D155, "6", Март!#REF!, "Северные ЭС")+COUNTIFS(Март!C6:C155, "КЛ", Март!D6:D155, "10", Март!#REF!, "Северные ЭС")+COUNTIFS(Март!C6:C155, "КЛ", Март!D6:D155, "35", Март!#REF!, "Северные ЭС")+COUNTIFS(Март!C6:C155, "КЛ", Март!D6:D155, "110", Март!#REF!, "Северные ЭС")</f>
        <v>#REF!</v>
      </c>
      <c r="L50" s="209" t="e">
        <f>'Для недоотпуска (час)'!L50*60</f>
        <v>#REF!</v>
      </c>
      <c r="M50" s="211" t="e">
        <f t="shared" si="20"/>
        <v>#REF!</v>
      </c>
      <c r="N50" s="213" t="e">
        <f t="shared" si="23"/>
        <v>#REF!</v>
      </c>
      <c r="O50" s="209" t="e">
        <f t="shared" si="23"/>
        <v>#REF!</v>
      </c>
      <c r="P50" s="214" t="e">
        <f t="shared" si="21"/>
        <v>#REF!</v>
      </c>
    </row>
    <row r="51" spans="2:16" x14ac:dyDescent="0.25">
      <c r="C51" s="362"/>
      <c r="D51" s="207" t="s">
        <v>65</v>
      </c>
      <c r="E51" s="208" t="e">
        <f>COUNTIFS(Январь!C3:C149, "ТП", Январь!D3:D149, "6", Январь!#REF!, "Северные ЭС")+COUNTIFS(Январь!C3:C149, "ТП", Январь!D3:D149, "10", Январь!#REF!, "Северные ЭС")+COUNTIFS(Январь!C3:C149, "ПС", Январь!D3:D149, "6", Январь!#REF!, "Северные ЭС")+COUNTIFS(Январь!C3:C149, "ПС", Январь!D3:D149, "10", Январь!#REF!, "Северные ЭС")+COUNTIFS(Январь!C3:C149, "РП", Январь!D3:D149, "6", Январь!#REF!, "Северные ЭС")+COUNTIFS(Январь!C3:C149, "РП", Январь!D3:D149, "10", Январь!#REF!, "Северные ЭС")</f>
        <v>#REF!</v>
      </c>
      <c r="F51" s="209" t="e">
        <f>'Для недоотпуска (час)'!F51*60</f>
        <v>#REF!</v>
      </c>
      <c r="G51" s="210">
        <v>0</v>
      </c>
      <c r="H51" s="208" t="e">
        <f>COUNTIFS(Февраль!C3:C133, "ТП", Февраль!D3:D133, "6", Февраль!#REF!, "Северные ЭС")+COUNTIFS(Февраль!C3:C133, "ТП", Февраль!D3:D133, "10", Февраль!#REF!, "Северные ЭС")+COUNTIFS(Февраль!C3:C133, "ПС", Февраль!D3:D133, "6", Февраль!#REF!, "Северные ЭС")+COUNTIFS(Февраль!C3:C133, "ПС", Февраль!D3:D133, "10", Февраль!#REF!, "Северные ЭС")</f>
        <v>#REF!</v>
      </c>
      <c r="I51" s="209" t="e">
        <f>'Для недоотпуска (час)'!I51*60</f>
        <v>#REF!</v>
      </c>
      <c r="J51" s="210" t="e">
        <f>I51/H51</f>
        <v>#REF!</v>
      </c>
      <c r="K51" s="212" t="e">
        <f>COUNTIFS(Март!C6:C155, "ТП", Март!D6:D155, "6", Март!#REF!, "Северные ЭС")+COUNTIFS(Март!C6:C155, "ТП", Март!D6:D155, "10", Март!#REF!, "Северные ЭС")+COUNTIFS(Март!C6:C155, "ПС", Март!D6:D155, "6", Март!#REF!, "Северные ЭС")+COUNTIFS(Март!C6:C155, "ПС", Март!D6:D155, "10", Март!#REF!, "Северные ЭС")</f>
        <v>#REF!</v>
      </c>
      <c r="L51" s="209" t="e">
        <f>'Для недоотпуска (час)'!L51*60</f>
        <v>#REF!</v>
      </c>
      <c r="M51" s="211" t="e">
        <f>L51/K51</f>
        <v>#REF!</v>
      </c>
      <c r="N51" s="213" t="e">
        <f t="shared" si="23"/>
        <v>#REF!</v>
      </c>
      <c r="O51" s="209" t="e">
        <f t="shared" si="23"/>
        <v>#REF!</v>
      </c>
      <c r="P51" s="214" t="e">
        <f t="shared" si="21"/>
        <v>#REF!</v>
      </c>
    </row>
    <row r="52" spans="2:16" x14ac:dyDescent="0.25">
      <c r="C52" s="362"/>
      <c r="D52" s="207" t="s">
        <v>66</v>
      </c>
      <c r="E52" s="208">
        <v>1</v>
      </c>
      <c r="F52" s="209">
        <f>'Для недоотпуска (час)'!F52*60</f>
        <v>82.2</v>
      </c>
      <c r="G52" s="210">
        <f>F52/E52</f>
        <v>82.2</v>
      </c>
      <c r="H52" s="208">
        <v>0</v>
      </c>
      <c r="I52" s="209">
        <f>'Для недоотпуска (час)'!I52*60</f>
        <v>0</v>
      </c>
      <c r="J52" s="211">
        <v>0</v>
      </c>
      <c r="K52" s="212">
        <v>0</v>
      </c>
      <c r="L52" s="209">
        <f>'Для недоотпуска (час)'!L52*60</f>
        <v>0</v>
      </c>
      <c r="M52" s="211">
        <v>0</v>
      </c>
      <c r="N52" s="213">
        <f t="shared" si="23"/>
        <v>1</v>
      </c>
      <c r="O52" s="209">
        <f t="shared" si="23"/>
        <v>82.2</v>
      </c>
      <c r="P52" s="214">
        <f>O52/N52</f>
        <v>82.2</v>
      </c>
    </row>
    <row r="53" spans="2:16" ht="18.75" x14ac:dyDescent="0.3">
      <c r="B53" s="215"/>
      <c r="C53" s="362"/>
      <c r="D53" s="207" t="s">
        <v>67</v>
      </c>
      <c r="E53" s="208">
        <v>0</v>
      </c>
      <c r="F53" s="209">
        <f>'Для недоотпуска (час)'!F53*60</f>
        <v>0</v>
      </c>
      <c r="G53" s="210">
        <v>0</v>
      </c>
      <c r="H53" s="208">
        <v>0</v>
      </c>
      <c r="I53" s="209">
        <f>'Для недоотпуска (час)'!I53*60</f>
        <v>0</v>
      </c>
      <c r="J53" s="211">
        <v>0</v>
      </c>
      <c r="K53" s="212">
        <v>0</v>
      </c>
      <c r="L53" s="209">
        <f>'Для недоотпуска (час)'!L53*60</f>
        <v>0</v>
      </c>
      <c r="M53" s="211">
        <v>0</v>
      </c>
      <c r="N53" s="213">
        <v>0</v>
      </c>
      <c r="O53" s="209">
        <v>0</v>
      </c>
      <c r="P53" s="214">
        <v>0</v>
      </c>
    </row>
    <row r="54" spans="2:16" ht="15.75" thickBot="1" x14ac:dyDescent="0.3">
      <c r="C54" s="363"/>
      <c r="D54" s="216" t="s">
        <v>68</v>
      </c>
      <c r="E54" s="217">
        <v>0</v>
      </c>
      <c r="F54" s="218">
        <f>'Для недоотпуска (час)'!F54*60</f>
        <v>0</v>
      </c>
      <c r="G54" s="219">
        <v>0</v>
      </c>
      <c r="H54" s="217">
        <v>0</v>
      </c>
      <c r="I54" s="218">
        <f>'Для недоотпуска (час)'!I54*60</f>
        <v>0</v>
      </c>
      <c r="J54" s="220">
        <v>0</v>
      </c>
      <c r="K54" s="221">
        <v>0</v>
      </c>
      <c r="L54" s="218">
        <f>'Для недоотпуска (час)'!L54*60</f>
        <v>0</v>
      </c>
      <c r="M54" s="220">
        <v>0</v>
      </c>
      <c r="N54" s="243">
        <v>0</v>
      </c>
      <c r="O54" s="242">
        <v>0</v>
      </c>
      <c r="P54" s="244">
        <v>0</v>
      </c>
    </row>
    <row r="55" spans="2:16" ht="15" customHeight="1" x14ac:dyDescent="0.25">
      <c r="C55" s="364" t="s">
        <v>49</v>
      </c>
      <c r="D55" s="222" t="s">
        <v>59</v>
      </c>
      <c r="E55" s="196" t="e">
        <f>E56+E60</f>
        <v>#REF!</v>
      </c>
      <c r="F55" s="197" t="e">
        <f>'Для недоотпуска (час)'!F55*60</f>
        <v>#REF!</v>
      </c>
      <c r="G55" s="198" t="e">
        <f t="shared" ref="G55:G62" si="24">F55/E55</f>
        <v>#REF!</v>
      </c>
      <c r="H55" s="196" t="e">
        <f>H56+H60</f>
        <v>#REF!</v>
      </c>
      <c r="I55" s="197" t="e">
        <f>'Для недоотпуска (час)'!I55*60</f>
        <v>#REF!</v>
      </c>
      <c r="J55" s="198" t="e">
        <f t="shared" ref="J55:J62" si="25">I55/H55</f>
        <v>#REF!</v>
      </c>
      <c r="K55" s="196" t="e">
        <f>K56+K60</f>
        <v>#REF!</v>
      </c>
      <c r="L55" s="197" t="e">
        <f>'Для недоотпуска (час)'!L55*60</f>
        <v>#REF!</v>
      </c>
      <c r="M55" s="199" t="e">
        <f t="shared" ref="M55:M63" si="26">L55/K55</f>
        <v>#REF!</v>
      </c>
      <c r="N55" s="224" t="e">
        <f>N56+N60</f>
        <v>#REF!</v>
      </c>
      <c r="O55" s="223" t="e">
        <f>O56+O60</f>
        <v>#REF!</v>
      </c>
      <c r="P55" s="225" t="e">
        <f t="shared" ref="P55:P63" si="27">O55/N55</f>
        <v>#REF!</v>
      </c>
    </row>
    <row r="56" spans="2:16" ht="15.75" customHeight="1" x14ac:dyDescent="0.25">
      <c r="C56" s="362"/>
      <c r="D56" s="200" t="s">
        <v>60</v>
      </c>
      <c r="E56" s="201" t="e">
        <f>E57+E58+E59</f>
        <v>#REF!</v>
      </c>
      <c r="F56" s="202" t="e">
        <f>'Для недоотпуска (час)'!F56*60</f>
        <v>#REF!</v>
      </c>
      <c r="G56" s="203" t="e">
        <f t="shared" si="24"/>
        <v>#REF!</v>
      </c>
      <c r="H56" s="201" t="e">
        <f>H57+H58+H59</f>
        <v>#REF!</v>
      </c>
      <c r="I56" s="202" t="e">
        <f>'Для недоотпуска (час)'!I56*60</f>
        <v>#REF!</v>
      </c>
      <c r="J56" s="203" t="e">
        <f>I56/H56</f>
        <v>#REF!</v>
      </c>
      <c r="K56" s="201" t="e">
        <f>K57+K58+K59</f>
        <v>#REF!</v>
      </c>
      <c r="L56" s="202" t="e">
        <f>'Для недоотпуска (час)'!L56*60</f>
        <v>#REF!</v>
      </c>
      <c r="M56" s="204" t="e">
        <f>L56/K56</f>
        <v>#REF!</v>
      </c>
      <c r="N56" s="205" t="e">
        <f>N57+N58+N59</f>
        <v>#REF!</v>
      </c>
      <c r="O56" s="202" t="e">
        <f>O57+O58+O59</f>
        <v>#REF!</v>
      </c>
      <c r="P56" s="206" t="e">
        <f t="shared" si="27"/>
        <v>#REF!</v>
      </c>
    </row>
    <row r="57" spans="2:16" x14ac:dyDescent="0.25">
      <c r="C57" s="362"/>
      <c r="D57" s="207" t="s">
        <v>61</v>
      </c>
      <c r="E57" s="208" t="e">
        <f>COUNTIFS(Январь!C3:C149, "ВЛ", Январь!D3:D149, "0,4", Январь!#REF!, "Центральные ЭС")</f>
        <v>#REF!</v>
      </c>
      <c r="F57" s="209" t="e">
        <f>'Для недоотпуска (час)'!F57*60</f>
        <v>#REF!</v>
      </c>
      <c r="G57" s="210" t="e">
        <f>F57/E57</f>
        <v>#REF!</v>
      </c>
      <c r="H57" s="208" t="e">
        <f>COUNTIFS(Февраль!C3:C133, "ВЛ", Февраль!D3:D133, "0,4", Февраль!#REF!, "Центральные ЭС")</f>
        <v>#REF!</v>
      </c>
      <c r="I57" s="209" t="e">
        <f>'Для недоотпуска (час)'!I57*60</f>
        <v>#REF!</v>
      </c>
      <c r="J57" s="210" t="e">
        <f>I57/H57</f>
        <v>#REF!</v>
      </c>
      <c r="K57" s="212" t="e">
        <f>COUNTIFS(Март!C6:C155, "ВЛ", Март!D6:D155, "0,4", Март!#REF!, "Центральные ЭС")</f>
        <v>#REF!</v>
      </c>
      <c r="L57" s="209" t="e">
        <f>'Для недоотпуска (час)'!L57*60</f>
        <v>#REF!</v>
      </c>
      <c r="M57" s="211" t="e">
        <f>L57/K57</f>
        <v>#REF!</v>
      </c>
      <c r="N57" s="213" t="e">
        <f t="shared" ref="N57:O59" si="28">E57+H57+K57</f>
        <v>#REF!</v>
      </c>
      <c r="O57" s="209" t="e">
        <f t="shared" si="28"/>
        <v>#REF!</v>
      </c>
      <c r="P57" s="214" t="e">
        <f t="shared" si="27"/>
        <v>#REF!</v>
      </c>
    </row>
    <row r="58" spans="2:16" x14ac:dyDescent="0.25">
      <c r="C58" s="362"/>
      <c r="D58" s="207" t="s">
        <v>62</v>
      </c>
      <c r="E58" s="208" t="e">
        <f>COUNTIFS(Январь!C3:C149, "КЛ", Январь!D3:D149, "0,4", Январь!#REF!, "Центральные ЭС")</f>
        <v>#REF!</v>
      </c>
      <c r="F58" s="209" t="e">
        <f>'Для недоотпуска (час)'!F58*60</f>
        <v>#REF!</v>
      </c>
      <c r="G58" s="210">
        <v>0</v>
      </c>
      <c r="H58" s="208" t="e">
        <f>COUNTIFS(Февраль!C3:C133, "КЛ", Февраль!D3:D133, "0,4", Февраль!#REF!, "Центральные ЭС")</f>
        <v>#REF!</v>
      </c>
      <c r="I58" s="209" t="e">
        <f>'Для недоотпуска (час)'!I58*60</f>
        <v>#REF!</v>
      </c>
      <c r="J58" s="210" t="e">
        <f>I58/H58</f>
        <v>#REF!</v>
      </c>
      <c r="K58" s="212" t="e">
        <f>COUNTIFS(Март!C6:C155, "КЛ", Март!D6:D155, "0,4", Март!#REF!, "Центральные ЭС")</f>
        <v>#REF!</v>
      </c>
      <c r="L58" s="209" t="e">
        <f>'Для недоотпуска (час)'!L58*60</f>
        <v>#REF!</v>
      </c>
      <c r="M58" s="211" t="e">
        <f>L58/K58</f>
        <v>#REF!</v>
      </c>
      <c r="N58" s="213" t="e">
        <f t="shared" si="28"/>
        <v>#REF!</v>
      </c>
      <c r="O58" s="209" t="e">
        <f t="shared" si="28"/>
        <v>#REF!</v>
      </c>
      <c r="P58" s="214" t="e">
        <f t="shared" si="27"/>
        <v>#REF!</v>
      </c>
    </row>
    <row r="59" spans="2:16" x14ac:dyDescent="0.25">
      <c r="C59" s="362"/>
      <c r="D59" s="207" t="s">
        <v>63</v>
      </c>
      <c r="E59" s="208" t="e">
        <f>COUNTIFS(Январь!C3:C149, "ТП", Январь!D3:D149, "0,4", Январь!#REF!, "Центральные ЭС")</f>
        <v>#REF!</v>
      </c>
      <c r="F59" s="209" t="e">
        <f>'Для недоотпуска (час)'!F59*60</f>
        <v>#REF!</v>
      </c>
      <c r="G59" s="210" t="e">
        <f>F59/E59</f>
        <v>#REF!</v>
      </c>
      <c r="H59" s="208" t="e">
        <f>COUNTIFS(Февраль!C3:C133, "ТП", Февраль!D3:D133, "0,4", Февраль!#REF!, "Центральные ЭС")</f>
        <v>#REF!</v>
      </c>
      <c r="I59" s="209" t="e">
        <f>'Для недоотпуска (час)'!I59*60</f>
        <v>#REF!</v>
      </c>
      <c r="J59" s="210">
        <v>0</v>
      </c>
      <c r="K59" s="212" t="e">
        <f>COUNTIFS(Март!C6:C155, "ТП", Март!D6:D155, "0,4", Март!#REF!, "Центральные ЭС")</f>
        <v>#REF!</v>
      </c>
      <c r="L59" s="209" t="e">
        <f>'Для недоотпуска (час)'!L59*60</f>
        <v>#REF!</v>
      </c>
      <c r="M59" s="211" t="e">
        <f>L59/K59</f>
        <v>#REF!</v>
      </c>
      <c r="N59" s="213" t="e">
        <f t="shared" si="28"/>
        <v>#REF!</v>
      </c>
      <c r="O59" s="209" t="e">
        <f t="shared" si="28"/>
        <v>#REF!</v>
      </c>
      <c r="P59" s="214" t="e">
        <f>O59/N59</f>
        <v>#REF!</v>
      </c>
    </row>
    <row r="60" spans="2:16" x14ac:dyDescent="0.25">
      <c r="C60" s="362"/>
      <c r="D60" s="200" t="s">
        <v>64</v>
      </c>
      <c r="E60" s="201" t="e">
        <f>E61+E62+E63+E64+E65+E66</f>
        <v>#REF!</v>
      </c>
      <c r="F60" s="202" t="e">
        <f>'Для недоотпуска (час)'!F60*60</f>
        <v>#REF!</v>
      </c>
      <c r="G60" s="203" t="e">
        <f t="shared" si="24"/>
        <v>#REF!</v>
      </c>
      <c r="H60" s="201" t="e">
        <f>H61+H62+H63+H64+H65+H66</f>
        <v>#REF!</v>
      </c>
      <c r="I60" s="202" t="e">
        <f>'Для недоотпуска (час)'!I60*60</f>
        <v>#REF!</v>
      </c>
      <c r="J60" s="203" t="e">
        <f t="shared" si="25"/>
        <v>#REF!</v>
      </c>
      <c r="K60" s="201" t="e">
        <f>K61+K62+K63+K64+K65+K66</f>
        <v>#REF!</v>
      </c>
      <c r="L60" s="202" t="e">
        <f>'Для недоотпуска (час)'!L60*60</f>
        <v>#REF!</v>
      </c>
      <c r="M60" s="204" t="e">
        <f t="shared" si="26"/>
        <v>#REF!</v>
      </c>
      <c r="N60" s="205" t="e">
        <f>N61+N62+N63+N64+N65+N66</f>
        <v>#REF!</v>
      </c>
      <c r="O60" s="202" t="e">
        <f>O61+O62+O63+O64+O65+O66</f>
        <v>#REF!</v>
      </c>
      <c r="P60" s="206" t="e">
        <f t="shared" si="27"/>
        <v>#REF!</v>
      </c>
    </row>
    <row r="61" spans="2:16" x14ac:dyDescent="0.25">
      <c r="C61" s="362"/>
      <c r="D61" s="207" t="s">
        <v>61</v>
      </c>
      <c r="E61" s="208" t="e">
        <f>COUNTIFS(Январь!C3:C149, "ВЛ", Январь!D3:D149, "6", Январь!#REF!, "Центральные ЭС")+COUNTIFS(Январь!C3:C149, "ВЛ", Январь!D3:D149, "10", Январь!#REF!, "Центральные ЭС")+COUNTIFS(Январь!C3:C149, "ВЛ", Январь!D3:D149, "35", Январь!#REF!, "Центральные ЭС")+COUNTIFS(Январь!C3:C149, "ВЛ", Январь!D3:D149, "110", Январь!#REF!, "Центральные ЭС")</f>
        <v>#REF!</v>
      </c>
      <c r="F61" s="209" t="e">
        <f>'Для недоотпуска (час)'!F61*60</f>
        <v>#REF!</v>
      </c>
      <c r="G61" s="210" t="e">
        <f t="shared" si="24"/>
        <v>#REF!</v>
      </c>
      <c r="H61" s="208" t="e">
        <f>COUNTIFS(Февраль!C3:C133, "ВЛ", Февраль!D3:D133, "6", Февраль!#REF!, "Центральные ЭС")+COUNTIFS(Февраль!C3:C133, "ВЛ", Февраль!D3:D133, "10", Февраль!#REF!, "Центральные ЭС")+COUNTIFS(Февраль!C3:C133, "ВЛ", Февраль!D3:D133, "35", Февраль!#REF!, "Центральные ЭС")+COUNTIFS(Февраль!C3:C133, "ВЛ", Февраль!D3:D133, "110", Февраль!#REF!, "Центральные ЭС")</f>
        <v>#REF!</v>
      </c>
      <c r="I61" s="209" t="e">
        <f>'Для недоотпуска (час)'!I61*60</f>
        <v>#REF!</v>
      </c>
      <c r="J61" s="210" t="e">
        <f t="shared" si="25"/>
        <v>#REF!</v>
      </c>
      <c r="K61" s="212" t="e">
        <f>COUNTIFS(Март!C6:C155, "ВЛ", Март!D6:D155, "6", Март!#REF!, "Центральные ЭС")+COUNTIFS(Март!C6:C155, "ВЛ", Март!D6:D155, "10", Март!#REF!, "Центральные ЭС")+COUNTIFS(Март!C6:C155, "ВЛ", Март!D6:D155, "35", Март!#REF!, "Центральные ЭС")+COUNTIFS(Март!C6:C155, "ВЛ", Март!D6:D155, "110", Март!#REF!, "Центральные ЭС")</f>
        <v>#REF!</v>
      </c>
      <c r="L61" s="209" t="e">
        <f>'Для недоотпуска (час)'!L61*60</f>
        <v>#REF!</v>
      </c>
      <c r="M61" s="211" t="e">
        <f t="shared" si="26"/>
        <v>#REF!</v>
      </c>
      <c r="N61" s="213" t="e">
        <f t="shared" ref="N61:O62" si="29">E61+H61+K61</f>
        <v>#REF!</v>
      </c>
      <c r="O61" s="209" t="e">
        <f t="shared" si="29"/>
        <v>#REF!</v>
      </c>
      <c r="P61" s="214" t="e">
        <f t="shared" si="27"/>
        <v>#REF!</v>
      </c>
    </row>
    <row r="62" spans="2:16" x14ac:dyDescent="0.25">
      <c r="C62" s="362"/>
      <c r="D62" s="207" t="s">
        <v>62</v>
      </c>
      <c r="E62" s="208" t="e">
        <f>COUNTIFS(Январь!C3:C149, "КЛ", Январь!D3:D149, "6", Январь!#REF!, "Центральные ЭС")+COUNTIFS(Январь!C3:C149, "КЛ", Январь!D3:D149, "10", Январь!#REF!, "Центральные ЭС")+COUNTIFS(Январь!C3:C149, "КЛ", Январь!D3:D149, "35", Январь!#REF!, "Центральные ЭС")+COUNTIFS(Январь!C3:C149, "КЛ", Январь!D3:D149, "110", Январь!#REF!, "Центральные ЭС")</f>
        <v>#REF!</v>
      </c>
      <c r="F62" s="209" t="e">
        <f>'Для недоотпуска (час)'!F62*60</f>
        <v>#REF!</v>
      </c>
      <c r="G62" s="210" t="e">
        <f t="shared" si="24"/>
        <v>#REF!</v>
      </c>
      <c r="H62" s="208" t="e">
        <f>COUNTIFS(Февраль!C3:C133, "КЛ", Февраль!D3:D133, "6", Февраль!#REF!, "Центральные ЭС")+COUNTIFS(Февраль!C3:C133, "КЛ", Февраль!D3:D133, "10", Февраль!#REF!, "Центральные ЭС")+COUNTIFS(Февраль!C3:C133, "КЛ", Февраль!D3:D133, "35", Февраль!#REF!, "Центральные ЭС")+COUNTIFS(Февраль!C3:C133, "КЛ", Февраль!D3:D133, "110", Февраль!#REF!, "Центральные ЭС")</f>
        <v>#REF!</v>
      </c>
      <c r="I62" s="209" t="e">
        <f>'Для недоотпуска (час)'!I62*60</f>
        <v>#REF!</v>
      </c>
      <c r="J62" s="210" t="e">
        <f t="shared" si="25"/>
        <v>#REF!</v>
      </c>
      <c r="K62" s="212" t="e">
        <f>COUNTIFS(Март!C6:C155, "КЛ", Март!D6:D155, "6", Март!#REF!, "Центральные ЭС")+COUNTIFS(Март!C6:C155, "КЛ", Март!D6:D155, "10", Март!#REF!, "Центральные ЭС")+COUNTIFS(Март!C6:C155, "КЛ", Март!D6:D155, "35", Март!#REF!, "Центральные ЭС")+COUNTIFS(Март!C6:C155, "КЛ", Март!D6:D155, "110", Март!#REF!, "Центральные ЭС")</f>
        <v>#REF!</v>
      </c>
      <c r="L62" s="209" t="e">
        <f>'Для недоотпуска (час)'!L62*60</f>
        <v>#REF!</v>
      </c>
      <c r="M62" s="211" t="e">
        <f t="shared" si="26"/>
        <v>#REF!</v>
      </c>
      <c r="N62" s="213" t="e">
        <f t="shared" si="29"/>
        <v>#REF!</v>
      </c>
      <c r="O62" s="209" t="e">
        <f t="shared" si="29"/>
        <v>#REF!</v>
      </c>
      <c r="P62" s="214" t="e">
        <f t="shared" si="27"/>
        <v>#REF!</v>
      </c>
    </row>
    <row r="63" spans="2:16" x14ac:dyDescent="0.25">
      <c r="C63" s="362"/>
      <c r="D63" s="207" t="s">
        <v>65</v>
      </c>
      <c r="E63" s="208" t="e">
        <f>COUNTIFS(Январь!C3:C149, "ТП", Январь!D3:D149, "6", Январь!#REF!, "Центральные ЭС")+COUNTIFS(Январь!C3:C149, "ТП", Январь!D3:D149, "10", Январь!#REF!, "Центральные ЭС")+COUNTIFS(Январь!C3:C149, "ПС", Январь!D3:D149, "6", Январь!#REF!, "Центральные ЭС")+COUNTIFS(Январь!C3:C149, "ПС", Январь!D3:D149, "10", Январь!#REF!, "Центральные ЭС")+COUNTIFS(Январь!C3:C149, "РП", Январь!D3:D149, "6", Январь!#REF!, "Центральные ЭС")+COUNTIFS(Январь!C3:C149, "РП", Январь!D3:D149, "10", Январь!#REF!, "Центральные ЭС")</f>
        <v>#REF!</v>
      </c>
      <c r="F63" s="209" t="e">
        <f>'Для недоотпуска (час)'!F63*60</f>
        <v>#REF!</v>
      </c>
      <c r="G63" s="210" t="e">
        <f>F63/E63</f>
        <v>#REF!</v>
      </c>
      <c r="H63" s="208" t="e">
        <f>COUNTIFS(Февраль!C3:C133, "ТП", Февраль!D3:D133, "6", Февраль!#REF!, "Центральные ЭС")+COUNTIFS(Февраль!C3:C133, "ТП", Февраль!D3:D133, "10", Февраль!#REF!, "Центральные ЭС")+COUNTIFS(Февраль!C3:C133, "ПС", Февраль!D3:D133, "6", Февраль!#REF!, "Центральные ЭС")+COUNTIFS(Февраль!C3:C133, "ПС", Февраль!D3:D133, "10", Февраль!#REF!, "Центральные ЭС")+COUNTIFS(Февраль!C3:C133, "РП", Февраль!D3:D133, "6", Февраль!#REF!, "Центральные ЭС")+COUNTIFS(Февраль!C3:C133, "РП", Февраль!D3:D133, "10", Февраль!#REF!, "Центральные ЭС")</f>
        <v>#REF!</v>
      </c>
      <c r="I63" s="209" t="e">
        <f>'Для недоотпуска (час)'!I63*60</f>
        <v>#REF!</v>
      </c>
      <c r="J63" s="210">
        <v>0</v>
      </c>
      <c r="K63" s="212" t="e">
        <f>COUNTIFS(Март!C6:C155, "ТП", Март!D6:D155, "6", Март!#REF!, "Центральные ЭС")+COUNTIFS(Март!C6:C155, "ТП", Март!D6:D155, "10", Март!#REF!, "Центральные ЭС")+COUNTIFS(Март!C6:C155, "ПС", Март!D6:D155, "6", Март!#REF!, "Центральные ЭС")+COUNTIFS(Март!C6:C155, "ПС", Март!D6:D155, "10", Март!#REF!, "Центральные ЭС")</f>
        <v>#REF!</v>
      </c>
      <c r="L63" s="209" t="e">
        <f>'Для недоотпуска (час)'!L63*60</f>
        <v>#REF!</v>
      </c>
      <c r="M63" s="211" t="e">
        <f t="shared" si="26"/>
        <v>#REF!</v>
      </c>
      <c r="N63" s="213" t="e">
        <f t="shared" ref="N63:O65" si="30">E63+H63+K63</f>
        <v>#REF!</v>
      </c>
      <c r="O63" s="209" t="e">
        <f t="shared" si="30"/>
        <v>#REF!</v>
      </c>
      <c r="P63" s="214" t="e">
        <f t="shared" si="27"/>
        <v>#REF!</v>
      </c>
    </row>
    <row r="64" spans="2:16" ht="15.75" customHeight="1" x14ac:dyDescent="0.25">
      <c r="C64" s="362"/>
      <c r="D64" s="207" t="s">
        <v>66</v>
      </c>
      <c r="E64" s="208">
        <v>5</v>
      </c>
      <c r="F64" s="209">
        <f>'Для недоотпуска (час)'!F64*60</f>
        <v>418.8</v>
      </c>
      <c r="G64" s="210">
        <f>F64/E64</f>
        <v>83.76</v>
      </c>
      <c r="H64" s="208">
        <v>1</v>
      </c>
      <c r="I64" s="209">
        <f>'Для недоотпуска (час)'!I64*60</f>
        <v>112.2</v>
      </c>
      <c r="J64" s="211">
        <f>I64/H64</f>
        <v>112.2</v>
      </c>
      <c r="K64" s="212" t="e">
        <f>COUNTIFS(Март!C6:C155, "ПС", Март!D6:D155, "35", Март!#REF!, "Центральные ЭС")</f>
        <v>#REF!</v>
      </c>
      <c r="L64" s="209" t="e">
        <f>'Для недоотпуска (час)'!L64*60</f>
        <v>#REF!</v>
      </c>
      <c r="M64" s="211">
        <v>0</v>
      </c>
      <c r="N64" s="213" t="e">
        <f t="shared" si="30"/>
        <v>#REF!</v>
      </c>
      <c r="O64" s="209" t="e">
        <f t="shared" si="30"/>
        <v>#REF!</v>
      </c>
      <c r="P64" s="214" t="e">
        <f>O64/N64</f>
        <v>#REF!</v>
      </c>
    </row>
    <row r="65" spans="2:16" ht="18.75" x14ac:dyDescent="0.3">
      <c r="B65" s="215"/>
      <c r="C65" s="362"/>
      <c r="D65" s="207" t="s">
        <v>67</v>
      </c>
      <c r="E65" s="208">
        <v>0</v>
      </c>
      <c r="F65" s="209">
        <f>'Для недоотпуска (час)'!F65*60</f>
        <v>0</v>
      </c>
      <c r="G65" s="210">
        <v>0</v>
      </c>
      <c r="H65" s="208">
        <v>0</v>
      </c>
      <c r="I65" s="209">
        <f>'Для недоотпуска (час)'!I65*60</f>
        <v>0</v>
      </c>
      <c r="J65" s="211">
        <v>0</v>
      </c>
      <c r="K65" s="212">
        <v>1</v>
      </c>
      <c r="L65" s="209">
        <f>'Для недоотпуска (час)'!L65*60</f>
        <v>15</v>
      </c>
      <c r="M65" s="211">
        <f>L65/K65</f>
        <v>15</v>
      </c>
      <c r="N65" s="213">
        <f t="shared" si="30"/>
        <v>1</v>
      </c>
      <c r="O65" s="209">
        <f t="shared" si="30"/>
        <v>15</v>
      </c>
      <c r="P65" s="214">
        <f>O65/N65</f>
        <v>15</v>
      </c>
    </row>
    <row r="66" spans="2:16" ht="15.75" thickBot="1" x14ac:dyDescent="0.3">
      <c r="C66" s="363"/>
      <c r="D66" s="216" t="s">
        <v>68</v>
      </c>
      <c r="E66" s="217">
        <v>0</v>
      </c>
      <c r="F66" s="218">
        <f>'Для недоотпуска (час)'!F66*60</f>
        <v>0</v>
      </c>
      <c r="G66" s="219">
        <v>0</v>
      </c>
      <c r="H66" s="217">
        <v>0</v>
      </c>
      <c r="I66" s="218">
        <f>'Для недоотпуска (час)'!I66*60</f>
        <v>0</v>
      </c>
      <c r="J66" s="220">
        <v>0</v>
      </c>
      <c r="K66" s="221">
        <v>0</v>
      </c>
      <c r="L66" s="218">
        <f>'Для недоотпуска (час)'!L66*60</f>
        <v>0</v>
      </c>
      <c r="M66" s="220">
        <v>0</v>
      </c>
      <c r="N66" s="243">
        <v>0</v>
      </c>
      <c r="O66" s="242">
        <v>0</v>
      </c>
      <c r="P66" s="244">
        <v>0</v>
      </c>
    </row>
    <row r="67" spans="2:16" ht="15" customHeight="1" x14ac:dyDescent="0.25">
      <c r="C67" s="364" t="s">
        <v>50</v>
      </c>
      <c r="D67" s="222" t="s">
        <v>59</v>
      </c>
      <c r="E67" s="196" t="e">
        <f>E68+E72</f>
        <v>#REF!</v>
      </c>
      <c r="F67" s="197" t="e">
        <f>'Для недоотпуска (час)'!F67*60</f>
        <v>#REF!</v>
      </c>
      <c r="G67" s="198" t="e">
        <f t="shared" ref="G67:G74" si="31">F67/E67</f>
        <v>#REF!</v>
      </c>
      <c r="H67" s="196" t="e">
        <f>H68+H72</f>
        <v>#REF!</v>
      </c>
      <c r="I67" s="197" t="e">
        <f>'Для недоотпуска (час)'!I67*60</f>
        <v>#REF!</v>
      </c>
      <c r="J67" s="198" t="e">
        <f t="shared" ref="J67:J74" si="32">I67/H67</f>
        <v>#REF!</v>
      </c>
      <c r="K67" s="196" t="e">
        <f>K68+K72</f>
        <v>#REF!</v>
      </c>
      <c r="L67" s="197" t="e">
        <f>'Для недоотпуска (час)'!L67*60</f>
        <v>#REF!</v>
      </c>
      <c r="M67" s="199" t="e">
        <f t="shared" ref="M67:M75" si="33">L67/K67</f>
        <v>#REF!</v>
      </c>
      <c r="N67" s="224" t="e">
        <f>N68+N72</f>
        <v>#REF!</v>
      </c>
      <c r="O67" s="223" t="e">
        <f>O68+O72</f>
        <v>#REF!</v>
      </c>
      <c r="P67" s="225" t="e">
        <f t="shared" ref="P67:P75" si="34">O67/N67</f>
        <v>#REF!</v>
      </c>
    </row>
    <row r="68" spans="2:16" ht="14.25" customHeight="1" x14ac:dyDescent="0.25">
      <c r="C68" s="362"/>
      <c r="D68" s="200" t="s">
        <v>60</v>
      </c>
      <c r="E68" s="201" t="e">
        <f>E69+E70+E71</f>
        <v>#REF!</v>
      </c>
      <c r="F68" s="202" t="e">
        <f>'Для недоотпуска (час)'!F68*60</f>
        <v>#REF!</v>
      </c>
      <c r="G68" s="203">
        <v>0</v>
      </c>
      <c r="H68" s="201" t="e">
        <f>H69+H70+H71</f>
        <v>#REF!</v>
      </c>
      <c r="I68" s="202" t="e">
        <f>'Для недоотпуска (час)'!I68*60</f>
        <v>#REF!</v>
      </c>
      <c r="J68" s="203" t="e">
        <f>I68/H68</f>
        <v>#REF!</v>
      </c>
      <c r="K68" s="201" t="e">
        <f>K69+K70+K71</f>
        <v>#REF!</v>
      </c>
      <c r="L68" s="202" t="e">
        <f>'Для недоотпуска (час)'!L68*60</f>
        <v>#REF!</v>
      </c>
      <c r="M68" s="204">
        <v>0</v>
      </c>
      <c r="N68" s="205" t="e">
        <f>N69+N70+N71</f>
        <v>#REF!</v>
      </c>
      <c r="O68" s="202" t="e">
        <f>O69+O70+O71</f>
        <v>#REF!</v>
      </c>
      <c r="P68" s="206" t="e">
        <f>O68/N68</f>
        <v>#REF!</v>
      </c>
    </row>
    <row r="69" spans="2:16" x14ac:dyDescent="0.25">
      <c r="C69" s="362"/>
      <c r="D69" s="207" t="s">
        <v>61</v>
      </c>
      <c r="E69" s="208" t="e">
        <f>COUNTIFS(Январь!C3:C149, "ВЛ", Январь!D3:D149, "0,4", Январь!#REF!, "Южные ЭС")</f>
        <v>#REF!</v>
      </c>
      <c r="F69" s="209" t="e">
        <f>'Для недоотпуска (час)'!F69*60</f>
        <v>#REF!</v>
      </c>
      <c r="G69" s="210">
        <v>0</v>
      </c>
      <c r="H69" s="208" t="e">
        <f>COUNTIFS(Февраль!C3:C133, "ВЛ", Февраль!D3:D133, "0,4", Февраль!#REF!, "Южные ЭС")</f>
        <v>#REF!</v>
      </c>
      <c r="I69" s="209" t="e">
        <f>'Для недоотпуска (час)'!I69*60</f>
        <v>#REF!</v>
      </c>
      <c r="J69" s="210" t="e">
        <f>I69/H69</f>
        <v>#REF!</v>
      </c>
      <c r="K69" s="212" t="e">
        <f>COUNTIFS(Март!C6:C155, "ВЛ", Март!D6:D155, "0,4", Март!#REF!, "Южные ЭС")</f>
        <v>#REF!</v>
      </c>
      <c r="L69" s="209" t="e">
        <f>'Для недоотпуска (час)'!L69*60</f>
        <v>#REF!</v>
      </c>
      <c r="M69" s="211">
        <v>0</v>
      </c>
      <c r="N69" s="213" t="e">
        <f t="shared" ref="N69:O71" si="35">E69+H69+K69</f>
        <v>#REF!</v>
      </c>
      <c r="O69" s="209" t="e">
        <f t="shared" si="35"/>
        <v>#REF!</v>
      </c>
      <c r="P69" s="214" t="e">
        <f>O69/N69</f>
        <v>#REF!</v>
      </c>
    </row>
    <row r="70" spans="2:16" x14ac:dyDescent="0.25">
      <c r="C70" s="362"/>
      <c r="D70" s="207" t="s">
        <v>62</v>
      </c>
      <c r="E70" s="208" t="e">
        <f>COUNTIFS(Январь!C3:C149, "КЛ", Январь!D3:D149, "0,4", Январь!#REF!, "Южные ЭС")</f>
        <v>#REF!</v>
      </c>
      <c r="F70" s="209" t="e">
        <f>'Для недоотпуска (час)'!F70*60</f>
        <v>#REF!</v>
      </c>
      <c r="G70" s="210">
        <v>0</v>
      </c>
      <c r="H70" s="208" t="e">
        <f>COUNTIFS(Февраль!C3:C133, "КЛ", Февраль!D3:D133, "0,4", Февраль!#REF!, "Южные ЭС")</f>
        <v>#REF!</v>
      </c>
      <c r="I70" s="209" t="e">
        <f>'Для недоотпуска (час)'!I70*60</f>
        <v>#REF!</v>
      </c>
      <c r="J70" s="210">
        <v>0</v>
      </c>
      <c r="K70" s="212" t="e">
        <f>COUNTIFS(Март!C6:C155, "КЛ", Март!D6:D155, "0,4", Март!#REF!, "Южные ЭС")</f>
        <v>#REF!</v>
      </c>
      <c r="L70" s="209" t="e">
        <f>'Для недоотпуска (час)'!L70*60</f>
        <v>#REF!</v>
      </c>
      <c r="M70" s="211">
        <v>0</v>
      </c>
      <c r="N70" s="213" t="e">
        <f t="shared" si="35"/>
        <v>#REF!</v>
      </c>
      <c r="O70" s="209" t="e">
        <f t="shared" si="35"/>
        <v>#REF!</v>
      </c>
      <c r="P70" s="214">
        <v>0</v>
      </c>
    </row>
    <row r="71" spans="2:16" x14ac:dyDescent="0.25">
      <c r="C71" s="362"/>
      <c r="D71" s="207" t="s">
        <v>63</v>
      </c>
      <c r="E71" s="208" t="e">
        <f>COUNTIFS(Январь!C3:C149, "ТП", Январь!D3:D149, "0,4", Январь!#REF!, "Южные ЭС")</f>
        <v>#REF!</v>
      </c>
      <c r="F71" s="209" t="e">
        <f>'Для недоотпуска (час)'!F71*60</f>
        <v>#REF!</v>
      </c>
      <c r="G71" s="210">
        <v>0</v>
      </c>
      <c r="H71" s="208" t="e">
        <f>COUNTIFS(Февраль!C3:C133, "ТП", Февраль!D3:D133, "0,4", Февраль!#REF!, "Южные ЭС")</f>
        <v>#REF!</v>
      </c>
      <c r="I71" s="209" t="e">
        <f>'Для недоотпуска (час)'!I71*60</f>
        <v>#REF!</v>
      </c>
      <c r="J71" s="210">
        <v>0</v>
      </c>
      <c r="K71" s="212" t="e">
        <f>COUNTIFS(Март!C6:C155, "ТП", Март!D6:D155, "0,4", Март!#REF!, "Южные ЭС")</f>
        <v>#REF!</v>
      </c>
      <c r="L71" s="209" t="e">
        <f>'Для недоотпуска (час)'!L71*60</f>
        <v>#REF!</v>
      </c>
      <c r="M71" s="211">
        <v>0</v>
      </c>
      <c r="N71" s="213" t="e">
        <f t="shared" si="35"/>
        <v>#REF!</v>
      </c>
      <c r="O71" s="209" t="e">
        <f t="shared" si="35"/>
        <v>#REF!</v>
      </c>
      <c r="P71" s="214">
        <v>0</v>
      </c>
    </row>
    <row r="72" spans="2:16" x14ac:dyDescent="0.25">
      <c r="C72" s="362"/>
      <c r="D72" s="200" t="s">
        <v>64</v>
      </c>
      <c r="E72" s="201" t="e">
        <f>E73+E74+E75+E76+E77+E78</f>
        <v>#REF!</v>
      </c>
      <c r="F72" s="202" t="e">
        <f>'Для недоотпуска (час)'!F72*60</f>
        <v>#REF!</v>
      </c>
      <c r="G72" s="203" t="e">
        <f t="shared" si="31"/>
        <v>#REF!</v>
      </c>
      <c r="H72" s="201" t="e">
        <f>H73+H74+H75+H76+H77+H78</f>
        <v>#REF!</v>
      </c>
      <c r="I72" s="202" t="e">
        <f>'Для недоотпуска (час)'!I72*60</f>
        <v>#REF!</v>
      </c>
      <c r="J72" s="203" t="e">
        <f t="shared" si="32"/>
        <v>#REF!</v>
      </c>
      <c r="K72" s="201" t="e">
        <f>K73+K74+K75+K76+K77+K78</f>
        <v>#REF!</v>
      </c>
      <c r="L72" s="202" t="e">
        <f>'Для недоотпуска (час)'!L72*60</f>
        <v>#REF!</v>
      </c>
      <c r="M72" s="204" t="e">
        <f t="shared" si="33"/>
        <v>#REF!</v>
      </c>
      <c r="N72" s="205" t="e">
        <f>N73+N74+N75+N76+N77+N78</f>
        <v>#REF!</v>
      </c>
      <c r="O72" s="202" t="e">
        <f>O73+O74+O75+O76+O77+O78</f>
        <v>#REF!</v>
      </c>
      <c r="P72" s="206" t="e">
        <f t="shared" si="34"/>
        <v>#REF!</v>
      </c>
    </row>
    <row r="73" spans="2:16" ht="15.75" customHeight="1" x14ac:dyDescent="0.25">
      <c r="C73" s="362"/>
      <c r="D73" s="207" t="s">
        <v>61</v>
      </c>
      <c r="E73" s="208" t="e">
        <f>COUNTIFS(Январь!C3:C149, "ВЛ", Январь!D3:D149, "6", Январь!#REF!, "Южные ЭС")+COUNTIFS(Январь!C3:C149, "ВЛ", Январь!D3:D149, "10", Январь!#REF!, "Южные ЭС")+COUNTIFS(Январь!C3:C149, "ВЛ", Январь!D3:D149, "35", Январь!#REF!, "Южные ЭС")+COUNTIFS(Январь!C3:C149, "ВЛ", Январь!D3:D149, "110", Январь!#REF!, "Южные ЭС")</f>
        <v>#REF!</v>
      </c>
      <c r="F73" s="209" t="e">
        <f>'Для недоотпуска (час)'!F73*60</f>
        <v>#REF!</v>
      </c>
      <c r="G73" s="210" t="e">
        <f>F73/E73</f>
        <v>#REF!</v>
      </c>
      <c r="H73" s="208" t="e">
        <f>COUNTIFS(Февраль!C3:C133, "ВЛ", Февраль!D3:D133, "6", Февраль!#REF!, "Южные ЭС")+COUNTIFS(Февраль!C3:C133, "ВЛ", Февраль!D3:D133, "10", Февраль!#REF!, "Южные ЭС")+COUNTIFS(Февраль!C3:C133, "ВЛ", Февраль!D3:D133, "35", Февраль!#REF!, "Южные ЭС")+COUNTIFS(Февраль!C3:C133, "ВЛ", Февраль!D3:D133, "110", Февраль!#REF!, "Южные ЭС")</f>
        <v>#REF!</v>
      </c>
      <c r="I73" s="209" t="e">
        <f>'Для недоотпуска (час)'!I73*60</f>
        <v>#REF!</v>
      </c>
      <c r="J73" s="210" t="e">
        <f t="shared" si="32"/>
        <v>#REF!</v>
      </c>
      <c r="K73" s="212" t="e">
        <f>COUNTIFS(Март!C6:C155, "ВЛ", Март!D6:D155, "6", Март!#REF!, "Южные ЭС")+COUNTIFS(Март!C6:C155, "ВЛ", Март!D6:D155, "10", Март!#REF!, "Южные ЭС")+COUNTIFS(Март!C6:C155, "ВЛ", Март!D6:D155, "35", Март!#REF!, "Южные ЭС")+COUNTIFS(Март!C6:C155, "ВЛ", Март!D6:D155, "110", Март!#REF!, "Южные ЭС")</f>
        <v>#REF!</v>
      </c>
      <c r="L73" s="209" t="e">
        <f>'Для недоотпуска (час)'!L73*60</f>
        <v>#REF!</v>
      </c>
      <c r="M73" s="211" t="e">
        <f t="shared" si="33"/>
        <v>#REF!</v>
      </c>
      <c r="N73" s="213" t="e">
        <f t="shared" ref="N73:O75" si="36">E73+H73+K73</f>
        <v>#REF!</v>
      </c>
      <c r="O73" s="209" t="e">
        <f t="shared" si="36"/>
        <v>#REF!</v>
      </c>
      <c r="P73" s="214" t="e">
        <f t="shared" si="34"/>
        <v>#REF!</v>
      </c>
    </row>
    <row r="74" spans="2:16" x14ac:dyDescent="0.25">
      <c r="C74" s="362"/>
      <c r="D74" s="207" t="s">
        <v>62</v>
      </c>
      <c r="E74" s="208" t="e">
        <f>COUNTIFS(Январь!C3:C149, "КЛ", Январь!D3:D149, "6", Январь!#REF!, "Южные ЭС")+COUNTIFS(Январь!C3:C149, "КЛ", Январь!D3:D149, "10", Январь!#REF!, "Южные ЭС")+COUNTIFS(Январь!C3:C149, "КЛ", Январь!D3:D149, "35", Январь!#REF!, "Южные ЭС")+COUNTIFS(Январь!C3:C149, "КЛ", Январь!D3:D149, "110", Январь!#REF!, "Южные ЭС")</f>
        <v>#REF!</v>
      </c>
      <c r="F74" s="209" t="e">
        <f>'Для недоотпуска (час)'!F74*60</f>
        <v>#REF!</v>
      </c>
      <c r="G74" s="210" t="e">
        <f t="shared" si="31"/>
        <v>#REF!</v>
      </c>
      <c r="H74" s="208" t="e">
        <f>COUNTIFS(Февраль!C3:C133, "КЛ", Февраль!D3:D133, "6", Февраль!#REF!, "Южные ЭС")+COUNTIFS(Февраль!C3:C133, "КЛ", Февраль!D3:D133, "10", Февраль!#REF!, "Южные ЭС")+COUNTIFS(Февраль!C3:C133, "КЛ", Февраль!D3:D133, "35", Февраль!#REF!, "Южные ЭС")+COUNTIFS(Февраль!C3:C133, "КЛ", Февраль!D3:D133, "110", Февраль!#REF!, "Южные ЭС")</f>
        <v>#REF!</v>
      </c>
      <c r="I74" s="209" t="e">
        <f>'Для недоотпуска (час)'!I74*60</f>
        <v>#REF!</v>
      </c>
      <c r="J74" s="210" t="e">
        <f t="shared" si="32"/>
        <v>#REF!</v>
      </c>
      <c r="K74" s="212" t="e">
        <f>COUNTIFS(Март!C6:C155, "КЛ", Март!D6:D155, "6", Март!#REF!, "Южные ЭС")+COUNTIFS(Март!C6:C155, "КЛ", Март!D6:D155, "10", Март!#REF!, "Южные ЭС")+COUNTIFS(Март!C6:C155, "КЛ", Март!D6:D155, "35", Март!#REF!, "Южные ЭС")+COUNTIFS(Март!C6:C155, "КЛ", Март!D6:D155, "110", Март!#REF!, "Южные ЭС")</f>
        <v>#REF!</v>
      </c>
      <c r="L74" s="209" t="e">
        <f>'Для недоотпуска (час)'!L74*60</f>
        <v>#REF!</v>
      </c>
      <c r="M74" s="211" t="e">
        <f t="shared" si="33"/>
        <v>#REF!</v>
      </c>
      <c r="N74" s="213" t="e">
        <f t="shared" si="36"/>
        <v>#REF!</v>
      </c>
      <c r="O74" s="209" t="e">
        <f t="shared" si="36"/>
        <v>#REF!</v>
      </c>
      <c r="P74" s="214" t="e">
        <f t="shared" si="34"/>
        <v>#REF!</v>
      </c>
    </row>
    <row r="75" spans="2:16" x14ac:dyDescent="0.25">
      <c r="C75" s="362"/>
      <c r="D75" s="207" t="s">
        <v>65</v>
      </c>
      <c r="E75" s="208" t="e">
        <f>COUNTIFS(Январь!C3:C149, "ТП", Январь!D3:D149, "6", Январь!#REF!, "Южные ЭС")+COUNTIFS(Январь!C3:C149, "ТП", Январь!D3:D149, "10", Январь!#REF!, "Южные ЭС")+COUNTIFS(Январь!C3:C149, "ПС", Январь!D3:D149, "6", Январь!#REF!, "Южные ЭС")+COUNTIFS(Январь!C3:C149, "ПС", Январь!D3:D149, "10", Январь!#REF!, "Южные ЭС")+COUNTIFS(Январь!C3:C149, "РП", Январь!D3:D149, "6", Январь!#REF!, "Южные ЭС")+COUNTIFS(Январь!C3:C149, "РП", Январь!D3:D149, "10", Январь!#REF!, "Южные ЭС")</f>
        <v>#REF!</v>
      </c>
      <c r="F75" s="209" t="e">
        <f>'Для недоотпуска (час)'!F75*60</f>
        <v>#REF!</v>
      </c>
      <c r="G75" s="210">
        <v>0</v>
      </c>
      <c r="H75" s="208" t="e">
        <f>COUNTIFS(Февраль!C3:C133, "ТП", Февраль!D3:D133, "6", Февраль!#REF!, "Южные ЭС")+COUNTIFS(Февраль!C3:C133, "ТП", Февраль!D3:D133, "10", Февраль!#REF!, "Южные ЭС")+COUNTIFS(Февраль!C3:C133, "ПС", Февраль!D3:D133, "6", Февраль!#REF!, "Южные ЭС")+COUNTIFS(Февраль!C3:C133, "ПС", Февраль!D3:D133, "10", Февраль!#REF!, "Южные ЭС")</f>
        <v>#REF!</v>
      </c>
      <c r="I75" s="209" t="e">
        <f>'Для недоотпуска (час)'!I75*60</f>
        <v>#REF!</v>
      </c>
      <c r="J75" s="210" t="e">
        <f>I75/H75</f>
        <v>#REF!</v>
      </c>
      <c r="K75" s="212" t="e">
        <f>COUNTIFS(Март!C6:C155, "ТП", Март!D6:D155, "6", Март!#REF!, "Южные ЭС")+COUNTIFS(Март!C6:C155, "ТП", Март!D6:D155, "10", Март!#REF!, "Южные ЭС")+COUNTIFS(Март!C6:C155, "ПС", Март!D6:D155, "6", Март!#REF!, "Южные ЭС")+COUNTIFS(Март!C6:C155, "ПС", Март!D6:D155, "10", Март!#REF!, "Южные ЭС")</f>
        <v>#REF!</v>
      </c>
      <c r="L75" s="209" t="e">
        <f>'Для недоотпуска (час)'!L75*60</f>
        <v>#REF!</v>
      </c>
      <c r="M75" s="211" t="e">
        <f t="shared" si="33"/>
        <v>#REF!</v>
      </c>
      <c r="N75" s="213" t="e">
        <f t="shared" si="36"/>
        <v>#REF!</v>
      </c>
      <c r="O75" s="209" t="e">
        <f t="shared" si="36"/>
        <v>#REF!</v>
      </c>
      <c r="P75" s="214" t="e">
        <f t="shared" si="34"/>
        <v>#REF!</v>
      </c>
    </row>
    <row r="76" spans="2:16" x14ac:dyDescent="0.25">
      <c r="C76" s="362"/>
      <c r="D76" s="207" t="s">
        <v>66</v>
      </c>
      <c r="E76" s="208">
        <v>0</v>
      </c>
      <c r="F76" s="209">
        <f>'Для недоотпуска (час)'!F76*60</f>
        <v>0</v>
      </c>
      <c r="G76" s="210">
        <v>0</v>
      </c>
      <c r="H76" s="208">
        <v>0</v>
      </c>
      <c r="I76" s="209">
        <f>'Для недоотпуска (час)'!I76*60</f>
        <v>0</v>
      </c>
      <c r="J76" s="211">
        <v>0</v>
      </c>
      <c r="K76" s="212">
        <v>0</v>
      </c>
      <c r="L76" s="209">
        <f>'Для недоотпуска (час)'!L76*60</f>
        <v>0</v>
      </c>
      <c r="M76" s="211">
        <v>0</v>
      </c>
      <c r="N76" s="213">
        <v>0</v>
      </c>
      <c r="O76" s="209">
        <v>0</v>
      </c>
      <c r="P76" s="214">
        <v>0</v>
      </c>
    </row>
    <row r="77" spans="2:16" ht="18.75" x14ac:dyDescent="0.3">
      <c r="B77" s="215"/>
      <c r="C77" s="362"/>
      <c r="D77" s="207" t="s">
        <v>67</v>
      </c>
      <c r="E77" s="208">
        <v>0</v>
      </c>
      <c r="F77" s="209">
        <f>'Для недоотпуска (час)'!F77*60</f>
        <v>0</v>
      </c>
      <c r="G77" s="210">
        <v>0</v>
      </c>
      <c r="H77" s="208">
        <v>0</v>
      </c>
      <c r="I77" s="209">
        <f>'Для недоотпуска (час)'!I77*60</f>
        <v>0</v>
      </c>
      <c r="J77" s="211">
        <v>0</v>
      </c>
      <c r="K77" s="212">
        <v>0</v>
      </c>
      <c r="L77" s="209">
        <f>'Для недоотпуска (час)'!L77*60</f>
        <v>0</v>
      </c>
      <c r="M77" s="211">
        <v>0</v>
      </c>
      <c r="N77" s="213">
        <v>0</v>
      </c>
      <c r="O77" s="209">
        <v>0</v>
      </c>
      <c r="P77" s="214">
        <v>0</v>
      </c>
    </row>
    <row r="78" spans="2:16" ht="15.75" thickBot="1" x14ac:dyDescent="0.3">
      <c r="C78" s="365"/>
      <c r="D78" s="226" t="s">
        <v>68</v>
      </c>
      <c r="E78" s="227">
        <v>0</v>
      </c>
      <c r="F78" s="228">
        <f>'Для недоотпуска (час)'!F78*60</f>
        <v>0</v>
      </c>
      <c r="G78" s="229">
        <v>0</v>
      </c>
      <c r="H78" s="227">
        <v>0</v>
      </c>
      <c r="I78" s="228">
        <f>'Для недоотпуска (час)'!I78*60</f>
        <v>0</v>
      </c>
      <c r="J78" s="230">
        <v>0</v>
      </c>
      <c r="K78" s="231">
        <v>0</v>
      </c>
      <c r="L78" s="228">
        <f>'Для недоотпуска (час)'!L78*60</f>
        <v>0</v>
      </c>
      <c r="M78" s="230">
        <v>0</v>
      </c>
      <c r="N78" s="232">
        <v>0</v>
      </c>
      <c r="O78" s="228">
        <v>0</v>
      </c>
      <c r="P78" s="233">
        <v>0</v>
      </c>
    </row>
    <row r="79" spans="2:16" ht="15.75" thickTop="1" x14ac:dyDescent="0.25"/>
    <row r="81" spans="3:16" ht="15.75" thickBot="1" x14ac:dyDescent="0.3"/>
    <row r="82" spans="3:16" ht="16.5" thickTop="1" thickBot="1" x14ac:dyDescent="0.3">
      <c r="C82" s="353" t="s">
        <v>3</v>
      </c>
      <c r="D82" s="367" t="s">
        <v>55</v>
      </c>
      <c r="E82" s="357" t="s">
        <v>81</v>
      </c>
      <c r="F82" s="351"/>
      <c r="G82" s="358"/>
      <c r="H82" s="359" t="s">
        <v>82</v>
      </c>
      <c r="I82" s="351"/>
      <c r="J82" s="358"/>
      <c r="K82" s="359" t="s">
        <v>83</v>
      </c>
      <c r="L82" s="351"/>
      <c r="M82" s="360"/>
      <c r="N82" s="350" t="s">
        <v>80</v>
      </c>
      <c r="O82" s="351"/>
      <c r="P82" s="352"/>
    </row>
    <row r="83" spans="3:16" ht="15.75" thickBot="1" x14ac:dyDescent="0.3">
      <c r="C83" s="354"/>
      <c r="D83" s="368"/>
      <c r="E83" s="317" t="s">
        <v>56</v>
      </c>
      <c r="F83" s="318" t="s">
        <v>89</v>
      </c>
      <c r="G83" s="319" t="s">
        <v>58</v>
      </c>
      <c r="H83" s="240" t="s">
        <v>56</v>
      </c>
      <c r="I83" s="191" t="s">
        <v>89</v>
      </c>
      <c r="J83" s="241" t="s">
        <v>58</v>
      </c>
      <c r="K83" s="240" t="s">
        <v>56</v>
      </c>
      <c r="L83" s="191" t="s">
        <v>89</v>
      </c>
      <c r="M83" s="241" t="s">
        <v>58</v>
      </c>
      <c r="N83" s="190" t="s">
        <v>56</v>
      </c>
      <c r="O83" s="191" t="s">
        <v>89</v>
      </c>
      <c r="P83" s="241" t="s">
        <v>58</v>
      </c>
    </row>
    <row r="84" spans="3:16" ht="15.75" thickTop="1" x14ac:dyDescent="0.25">
      <c r="C84" s="366" t="s">
        <v>69</v>
      </c>
      <c r="D84" s="236" t="s">
        <v>59</v>
      </c>
      <c r="E84" s="320" t="e">
        <f>E85+E89</f>
        <v>#REF!</v>
      </c>
      <c r="F84" s="223" t="e">
        <f>F85+F89</f>
        <v>#REF!</v>
      </c>
      <c r="G84" s="321" t="e">
        <f t="shared" ref="G84:G92" si="37">F84/E84</f>
        <v>#REF!</v>
      </c>
      <c r="H84" s="196" t="e">
        <f>H85+H89</f>
        <v>#REF!</v>
      </c>
      <c r="I84" s="197" t="e">
        <f>I85+I89</f>
        <v>#REF!</v>
      </c>
      <c r="J84" s="235" t="e">
        <f t="shared" ref="J84:J93" si="38">I84/H84</f>
        <v>#REF!</v>
      </c>
      <c r="K84" s="234" t="e">
        <f>K85+K89</f>
        <v>#REF!</v>
      </c>
      <c r="L84" s="197" t="e">
        <f>L85+L89</f>
        <v>#REF!</v>
      </c>
      <c r="M84" s="235" t="e">
        <f t="shared" ref="M84:M92" si="39">L84/K84</f>
        <v>#REF!</v>
      </c>
      <c r="N84" s="196" t="e">
        <f>N85+N89</f>
        <v>#REF!</v>
      </c>
      <c r="O84" s="197" t="e">
        <f>O85+O89</f>
        <v>#REF!</v>
      </c>
      <c r="P84" s="235" t="e">
        <f t="shared" ref="P84:P92" si="40">O84/N84</f>
        <v>#REF!</v>
      </c>
    </row>
    <row r="85" spans="3:16" x14ac:dyDescent="0.25">
      <c r="C85" s="362"/>
      <c r="D85" s="237" t="s">
        <v>60</v>
      </c>
      <c r="E85" s="322" t="e">
        <f>E86+E87+E88</f>
        <v>#REF!</v>
      </c>
      <c r="F85" s="202" t="e">
        <f>F86+F87+F88</f>
        <v>#REF!</v>
      </c>
      <c r="G85" s="203" t="e">
        <f t="shared" si="37"/>
        <v>#REF!</v>
      </c>
      <c r="H85" s="201" t="e">
        <f>H86+H87+H88</f>
        <v>#REF!</v>
      </c>
      <c r="I85" s="202" t="e">
        <f>I86+I87+I88</f>
        <v>#REF!</v>
      </c>
      <c r="J85" s="206" t="e">
        <f t="shared" si="38"/>
        <v>#REF!</v>
      </c>
      <c r="K85" s="205" t="e">
        <f>K86+K87+K88</f>
        <v>#REF!</v>
      </c>
      <c r="L85" s="202" t="e">
        <f>L86+L87+L88</f>
        <v>#REF!</v>
      </c>
      <c r="M85" s="206" t="e">
        <f t="shared" si="39"/>
        <v>#REF!</v>
      </c>
      <c r="N85" s="201" t="e">
        <f>N86+N87+N88</f>
        <v>#REF!</v>
      </c>
      <c r="O85" s="202" t="e">
        <f>O86+O87+O88</f>
        <v>#REF!</v>
      </c>
      <c r="P85" s="206" t="e">
        <f t="shared" si="40"/>
        <v>#REF!</v>
      </c>
    </row>
    <row r="86" spans="3:16" x14ac:dyDescent="0.25">
      <c r="C86" s="362"/>
      <c r="D86" s="238" t="s">
        <v>61</v>
      </c>
      <c r="E86" s="212" t="e">
        <f t="shared" ref="E86:F88" si="41">E9+E21+E33+E45+E57+E69</f>
        <v>#REF!</v>
      </c>
      <c r="F86" s="209" t="e">
        <f t="shared" si="41"/>
        <v>#REF!</v>
      </c>
      <c r="G86" s="210" t="e">
        <f t="shared" si="37"/>
        <v>#REF!</v>
      </c>
      <c r="H86" s="208" t="e">
        <f t="shared" ref="H86:I88" si="42">H9+H21+H33+H45+H57+H69</f>
        <v>#REF!</v>
      </c>
      <c r="I86" s="209" t="e">
        <f t="shared" si="42"/>
        <v>#REF!</v>
      </c>
      <c r="J86" s="214" t="e">
        <f t="shared" si="38"/>
        <v>#REF!</v>
      </c>
      <c r="K86" s="213" t="e">
        <f t="shared" ref="K86:L88" si="43">K9+K21+K33+K45+K57+K69</f>
        <v>#REF!</v>
      </c>
      <c r="L86" s="209" t="e">
        <f t="shared" si="43"/>
        <v>#REF!</v>
      </c>
      <c r="M86" s="214" t="e">
        <f t="shared" si="39"/>
        <v>#REF!</v>
      </c>
      <c r="N86" s="208" t="e">
        <f t="shared" ref="N86:O88" si="44">N9+N21+N33+N45+N57+N69</f>
        <v>#REF!</v>
      </c>
      <c r="O86" s="209" t="e">
        <f t="shared" si="44"/>
        <v>#REF!</v>
      </c>
      <c r="P86" s="214" t="e">
        <f t="shared" si="40"/>
        <v>#REF!</v>
      </c>
    </row>
    <row r="87" spans="3:16" x14ac:dyDescent="0.25">
      <c r="C87" s="362"/>
      <c r="D87" s="238" t="s">
        <v>62</v>
      </c>
      <c r="E87" s="212" t="e">
        <f t="shared" si="41"/>
        <v>#REF!</v>
      </c>
      <c r="F87" s="209" t="e">
        <f t="shared" si="41"/>
        <v>#REF!</v>
      </c>
      <c r="G87" s="210" t="e">
        <f t="shared" si="37"/>
        <v>#REF!</v>
      </c>
      <c r="H87" s="208" t="e">
        <f t="shared" si="42"/>
        <v>#REF!</v>
      </c>
      <c r="I87" s="209" t="e">
        <f t="shared" si="42"/>
        <v>#REF!</v>
      </c>
      <c r="J87" s="214" t="e">
        <f t="shared" si="38"/>
        <v>#REF!</v>
      </c>
      <c r="K87" s="213" t="e">
        <f t="shared" si="43"/>
        <v>#REF!</v>
      </c>
      <c r="L87" s="209" t="e">
        <f t="shared" si="43"/>
        <v>#REF!</v>
      </c>
      <c r="M87" s="214" t="e">
        <f t="shared" si="39"/>
        <v>#REF!</v>
      </c>
      <c r="N87" s="208" t="e">
        <f t="shared" si="44"/>
        <v>#REF!</v>
      </c>
      <c r="O87" s="209" t="e">
        <f t="shared" si="44"/>
        <v>#REF!</v>
      </c>
      <c r="P87" s="214" t="e">
        <f t="shared" si="40"/>
        <v>#REF!</v>
      </c>
    </row>
    <row r="88" spans="3:16" x14ac:dyDescent="0.25">
      <c r="C88" s="362"/>
      <c r="D88" s="238" t="s">
        <v>63</v>
      </c>
      <c r="E88" s="212" t="e">
        <f t="shared" si="41"/>
        <v>#REF!</v>
      </c>
      <c r="F88" s="209" t="e">
        <f t="shared" si="41"/>
        <v>#REF!</v>
      </c>
      <c r="G88" s="210" t="e">
        <f t="shared" si="37"/>
        <v>#REF!</v>
      </c>
      <c r="H88" s="208" t="e">
        <f t="shared" si="42"/>
        <v>#REF!</v>
      </c>
      <c r="I88" s="209" t="e">
        <f t="shared" si="42"/>
        <v>#REF!</v>
      </c>
      <c r="J88" s="214" t="e">
        <f t="shared" si="38"/>
        <v>#REF!</v>
      </c>
      <c r="K88" s="213" t="e">
        <f t="shared" si="43"/>
        <v>#REF!</v>
      </c>
      <c r="L88" s="209" t="e">
        <f t="shared" si="43"/>
        <v>#REF!</v>
      </c>
      <c r="M88" s="214">
        <v>0</v>
      </c>
      <c r="N88" s="208" t="e">
        <f t="shared" si="44"/>
        <v>#REF!</v>
      </c>
      <c r="O88" s="209" t="e">
        <f t="shared" si="44"/>
        <v>#REF!</v>
      </c>
      <c r="P88" s="214" t="e">
        <f t="shared" si="40"/>
        <v>#REF!</v>
      </c>
    </row>
    <row r="89" spans="3:16" x14ac:dyDescent="0.25">
      <c r="C89" s="362"/>
      <c r="D89" s="237" t="s">
        <v>64</v>
      </c>
      <c r="E89" s="322" t="e">
        <f>E90+E91+E92+E93+E94+E95</f>
        <v>#REF!</v>
      </c>
      <c r="F89" s="202" t="e">
        <f>F90+F91+F92+F93+F94+F95</f>
        <v>#REF!</v>
      </c>
      <c r="G89" s="203" t="e">
        <f t="shared" si="37"/>
        <v>#REF!</v>
      </c>
      <c r="H89" s="201" t="e">
        <f>H90+H91+H92+H93+H94+H95</f>
        <v>#REF!</v>
      </c>
      <c r="I89" s="202" t="e">
        <f>I90+I91+I92+I93+I94+I95</f>
        <v>#REF!</v>
      </c>
      <c r="J89" s="206" t="e">
        <f t="shared" si="38"/>
        <v>#REF!</v>
      </c>
      <c r="K89" s="205" t="e">
        <f>K90+K91+K92+K93+K94+K95</f>
        <v>#REF!</v>
      </c>
      <c r="L89" s="202" t="e">
        <f>L90+L91+L92+L93+L94+L95</f>
        <v>#REF!</v>
      </c>
      <c r="M89" s="206" t="e">
        <f t="shared" si="39"/>
        <v>#REF!</v>
      </c>
      <c r="N89" s="201" t="e">
        <f>N90+N91+N92+N93+N94+N95</f>
        <v>#REF!</v>
      </c>
      <c r="O89" s="202" t="e">
        <f>O90+O91+O92+O93+O94+O95</f>
        <v>#REF!</v>
      </c>
      <c r="P89" s="206" t="e">
        <f t="shared" si="40"/>
        <v>#REF!</v>
      </c>
    </row>
    <row r="90" spans="3:16" x14ac:dyDescent="0.25">
      <c r="C90" s="362"/>
      <c r="D90" s="238" t="s">
        <v>61</v>
      </c>
      <c r="E90" s="212" t="e">
        <f t="shared" ref="E90:F92" si="45">E13+E25+E37+E49+E61+E73</f>
        <v>#REF!</v>
      </c>
      <c r="F90" s="209" t="e">
        <f t="shared" si="45"/>
        <v>#REF!</v>
      </c>
      <c r="G90" s="210" t="e">
        <f t="shared" si="37"/>
        <v>#REF!</v>
      </c>
      <c r="H90" s="208" t="e">
        <f t="shared" ref="H90:I93" si="46">H13+H25+H37+H49+H61+H73</f>
        <v>#REF!</v>
      </c>
      <c r="I90" s="209" t="e">
        <f t="shared" si="46"/>
        <v>#REF!</v>
      </c>
      <c r="J90" s="214" t="e">
        <f t="shared" si="38"/>
        <v>#REF!</v>
      </c>
      <c r="K90" s="213" t="e">
        <f t="shared" ref="K90:L94" si="47">K13+K25+K37+K49+K61+K73</f>
        <v>#REF!</v>
      </c>
      <c r="L90" s="209" t="e">
        <f t="shared" si="47"/>
        <v>#REF!</v>
      </c>
      <c r="M90" s="214" t="e">
        <f t="shared" si="39"/>
        <v>#REF!</v>
      </c>
      <c r="N90" s="208" t="e">
        <f t="shared" ref="N90:O94" si="48">N13+N25+N37+N49+N61+N73</f>
        <v>#REF!</v>
      </c>
      <c r="O90" s="209" t="e">
        <f t="shared" si="48"/>
        <v>#REF!</v>
      </c>
      <c r="P90" s="214" t="e">
        <f t="shared" si="40"/>
        <v>#REF!</v>
      </c>
    </row>
    <row r="91" spans="3:16" x14ac:dyDescent="0.25">
      <c r="C91" s="362"/>
      <c r="D91" s="238" t="s">
        <v>62</v>
      </c>
      <c r="E91" s="212" t="e">
        <f t="shared" si="45"/>
        <v>#REF!</v>
      </c>
      <c r="F91" s="209" t="e">
        <f t="shared" si="45"/>
        <v>#REF!</v>
      </c>
      <c r="G91" s="210" t="e">
        <f t="shared" si="37"/>
        <v>#REF!</v>
      </c>
      <c r="H91" s="208" t="e">
        <f t="shared" si="46"/>
        <v>#REF!</v>
      </c>
      <c r="I91" s="209" t="e">
        <f t="shared" si="46"/>
        <v>#REF!</v>
      </c>
      <c r="J91" s="214" t="e">
        <f t="shared" si="38"/>
        <v>#REF!</v>
      </c>
      <c r="K91" s="213" t="e">
        <f t="shared" si="47"/>
        <v>#REF!</v>
      </c>
      <c r="L91" s="209" t="e">
        <f t="shared" si="47"/>
        <v>#REF!</v>
      </c>
      <c r="M91" s="214" t="e">
        <f t="shared" si="39"/>
        <v>#REF!</v>
      </c>
      <c r="N91" s="208" t="e">
        <f t="shared" si="48"/>
        <v>#REF!</v>
      </c>
      <c r="O91" s="209" t="e">
        <f t="shared" si="48"/>
        <v>#REF!</v>
      </c>
      <c r="P91" s="214" t="e">
        <f t="shared" si="40"/>
        <v>#REF!</v>
      </c>
    </row>
    <row r="92" spans="3:16" x14ac:dyDescent="0.25">
      <c r="C92" s="362"/>
      <c r="D92" s="238" t="s">
        <v>65</v>
      </c>
      <c r="E92" s="212" t="e">
        <f>E15+E27+E39+E51+E63+E75</f>
        <v>#REF!</v>
      </c>
      <c r="F92" s="209" t="e">
        <f t="shared" si="45"/>
        <v>#REF!</v>
      </c>
      <c r="G92" s="210" t="e">
        <f t="shared" si="37"/>
        <v>#REF!</v>
      </c>
      <c r="H92" s="208" t="e">
        <f>H15+H27+H39+H51+H63+H75</f>
        <v>#REF!</v>
      </c>
      <c r="I92" s="209" t="e">
        <f t="shared" si="46"/>
        <v>#REF!</v>
      </c>
      <c r="J92" s="214" t="e">
        <f t="shared" si="38"/>
        <v>#REF!</v>
      </c>
      <c r="K92" s="213" t="e">
        <f t="shared" si="47"/>
        <v>#REF!</v>
      </c>
      <c r="L92" s="209" t="e">
        <f t="shared" si="47"/>
        <v>#REF!</v>
      </c>
      <c r="M92" s="214" t="e">
        <f t="shared" si="39"/>
        <v>#REF!</v>
      </c>
      <c r="N92" s="208" t="e">
        <f t="shared" si="48"/>
        <v>#REF!</v>
      </c>
      <c r="O92" s="209" t="e">
        <f t="shared" si="48"/>
        <v>#REF!</v>
      </c>
      <c r="P92" s="214" t="e">
        <f t="shared" si="40"/>
        <v>#REF!</v>
      </c>
    </row>
    <row r="93" spans="3:16" x14ac:dyDescent="0.25">
      <c r="C93" s="362"/>
      <c r="D93" s="238" t="s">
        <v>66</v>
      </c>
      <c r="E93" s="212">
        <f t="shared" ref="E93:F94" si="49">E16+E28+E40+E52+E64+E76</f>
        <v>6</v>
      </c>
      <c r="F93" s="209">
        <f t="shared" si="49"/>
        <v>501</v>
      </c>
      <c r="G93" s="210">
        <f>F93/E93</f>
        <v>83.5</v>
      </c>
      <c r="H93" s="208">
        <f>H16+H28+H40+H52+H64+H76</f>
        <v>1</v>
      </c>
      <c r="I93" s="209">
        <f t="shared" si="46"/>
        <v>112.2</v>
      </c>
      <c r="J93" s="214">
        <f t="shared" si="38"/>
        <v>112.2</v>
      </c>
      <c r="K93" s="213" t="e">
        <f t="shared" si="47"/>
        <v>#REF!</v>
      </c>
      <c r="L93" s="209" t="e">
        <f t="shared" si="47"/>
        <v>#REF!</v>
      </c>
      <c r="M93" s="214">
        <v>0</v>
      </c>
      <c r="N93" s="208" t="e">
        <f t="shared" si="48"/>
        <v>#REF!</v>
      </c>
      <c r="O93" s="209" t="e">
        <f t="shared" si="48"/>
        <v>#REF!</v>
      </c>
      <c r="P93" s="214" t="e">
        <f>O93/N93</f>
        <v>#REF!</v>
      </c>
    </row>
    <row r="94" spans="3:16" x14ac:dyDescent="0.25">
      <c r="C94" s="362"/>
      <c r="D94" s="238" t="s">
        <v>67</v>
      </c>
      <c r="E94" s="212">
        <f t="shared" si="49"/>
        <v>0</v>
      </c>
      <c r="F94" s="209">
        <v>0</v>
      </c>
      <c r="G94" s="210">
        <v>0</v>
      </c>
      <c r="H94" s="208">
        <v>0</v>
      </c>
      <c r="I94" s="209">
        <v>0</v>
      </c>
      <c r="J94" s="214">
        <v>0</v>
      </c>
      <c r="K94" s="213">
        <f t="shared" si="47"/>
        <v>1</v>
      </c>
      <c r="L94" s="209">
        <f t="shared" si="47"/>
        <v>15</v>
      </c>
      <c r="M94" s="214">
        <f>L94/K94</f>
        <v>15</v>
      </c>
      <c r="N94" s="208">
        <f t="shared" si="48"/>
        <v>1</v>
      </c>
      <c r="O94" s="209">
        <f t="shared" si="48"/>
        <v>15</v>
      </c>
      <c r="P94" s="214">
        <f>O94/N94</f>
        <v>15</v>
      </c>
    </row>
    <row r="95" spans="3:16" ht="15.75" thickBot="1" x14ac:dyDescent="0.3">
      <c r="C95" s="365"/>
      <c r="D95" s="239" t="s">
        <v>68</v>
      </c>
      <c r="E95" s="221">
        <v>0</v>
      </c>
      <c r="F95" s="218">
        <v>0</v>
      </c>
      <c r="G95" s="219">
        <v>0</v>
      </c>
      <c r="H95" s="227">
        <v>0</v>
      </c>
      <c r="I95" s="228">
        <v>0</v>
      </c>
      <c r="J95" s="233">
        <v>0</v>
      </c>
      <c r="K95" s="232">
        <v>0</v>
      </c>
      <c r="L95" s="228">
        <v>0</v>
      </c>
      <c r="M95" s="233">
        <v>0</v>
      </c>
      <c r="N95" s="227">
        <v>0</v>
      </c>
      <c r="O95" s="228">
        <v>0</v>
      </c>
      <c r="P95" s="233">
        <v>0</v>
      </c>
    </row>
    <row r="96" spans="3:16" ht="15.75" thickTop="1" x14ac:dyDescent="0.25"/>
  </sheetData>
  <mergeCells count="19">
    <mergeCell ref="C84:C95"/>
    <mergeCell ref="C82:C83"/>
    <mergeCell ref="D82:D83"/>
    <mergeCell ref="E82:G82"/>
    <mergeCell ref="H82:J82"/>
    <mergeCell ref="K82:M82"/>
    <mergeCell ref="N82:P82"/>
    <mergeCell ref="C7:C18"/>
    <mergeCell ref="C19:C30"/>
    <mergeCell ref="C31:C42"/>
    <mergeCell ref="C43:C54"/>
    <mergeCell ref="C55:C66"/>
    <mergeCell ref="C67:C78"/>
    <mergeCell ref="N5:P5"/>
    <mergeCell ref="C5:C6"/>
    <mergeCell ref="D5:D6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6"/>
  <sheetViews>
    <sheetView topLeftCell="A63" workbookViewId="0">
      <selection activeCell="E5" sqref="E5:P95"/>
    </sheetView>
  </sheetViews>
  <sheetFormatPr defaultRowHeight="15" x14ac:dyDescent="0.25"/>
  <cols>
    <col min="3" max="3" width="18" customWidth="1"/>
    <col min="4" max="4" width="35.42578125" style="187" customWidth="1"/>
    <col min="5" max="5" width="9.140625" style="188"/>
    <col min="6" max="7" width="9.140625" style="189"/>
    <col min="8" max="8" width="9.140625" style="188"/>
    <col min="9" max="10" width="9.140625" style="189"/>
    <col min="11" max="11" width="9.140625" style="188"/>
    <col min="12" max="13" width="9.140625" style="189"/>
    <col min="14" max="14" width="9.140625" style="188"/>
    <col min="15" max="16" width="9.140625" style="189"/>
  </cols>
  <sheetData>
    <row r="1" spans="1:16" x14ac:dyDescent="0.25">
      <c r="A1" s="92"/>
    </row>
    <row r="2" spans="1:16" x14ac:dyDescent="0.25">
      <c r="A2" s="92"/>
    </row>
    <row r="3" spans="1:16" x14ac:dyDescent="0.25">
      <c r="A3" s="92"/>
      <c r="F3" s="189" t="s">
        <v>54</v>
      </c>
    </row>
    <row r="4" spans="1:16" ht="15.75" thickBot="1" x14ac:dyDescent="0.3">
      <c r="A4" s="92"/>
    </row>
    <row r="5" spans="1:16" ht="16.5" thickTop="1" thickBot="1" x14ac:dyDescent="0.3">
      <c r="A5" s="92"/>
      <c r="C5" s="353" t="s">
        <v>3</v>
      </c>
      <c r="D5" s="355" t="s">
        <v>55</v>
      </c>
      <c r="E5" s="357" t="s">
        <v>81</v>
      </c>
      <c r="F5" s="351"/>
      <c r="G5" s="358"/>
      <c r="H5" s="359" t="s">
        <v>82</v>
      </c>
      <c r="I5" s="351"/>
      <c r="J5" s="358"/>
      <c r="K5" s="359" t="s">
        <v>83</v>
      </c>
      <c r="L5" s="351"/>
      <c r="M5" s="360"/>
      <c r="N5" s="350" t="s">
        <v>80</v>
      </c>
      <c r="O5" s="351"/>
      <c r="P5" s="352"/>
    </row>
    <row r="6" spans="1:16" ht="18" customHeight="1" thickBot="1" x14ac:dyDescent="0.3">
      <c r="A6" s="92"/>
      <c r="C6" s="354"/>
      <c r="D6" s="356"/>
      <c r="E6" s="190" t="s">
        <v>56</v>
      </c>
      <c r="F6" s="191" t="s">
        <v>57</v>
      </c>
      <c r="G6" s="192" t="s">
        <v>58</v>
      </c>
      <c r="H6" s="193" t="s">
        <v>56</v>
      </c>
      <c r="I6" s="191" t="s">
        <v>57</v>
      </c>
      <c r="J6" s="192" t="s">
        <v>58</v>
      </c>
      <c r="K6" s="193" t="s">
        <v>56</v>
      </c>
      <c r="L6" s="191" t="s">
        <v>57</v>
      </c>
      <c r="M6" s="194" t="s">
        <v>58</v>
      </c>
      <c r="N6" s="240" t="s">
        <v>56</v>
      </c>
      <c r="O6" s="191" t="s">
        <v>57</v>
      </c>
      <c r="P6" s="241" t="s">
        <v>58</v>
      </c>
    </row>
    <row r="7" spans="1:16" ht="14.25" customHeight="1" thickTop="1" x14ac:dyDescent="0.25">
      <c r="A7" s="92"/>
      <c r="C7" s="361" t="s">
        <v>45</v>
      </c>
      <c r="D7" s="195" t="s">
        <v>59</v>
      </c>
      <c r="E7" s="196" t="e">
        <f>E8+E12</f>
        <v>#REF!</v>
      </c>
      <c r="F7" s="197" t="e">
        <f>F8+F12</f>
        <v>#REF!</v>
      </c>
      <c r="G7" s="198" t="e">
        <f t="shared" ref="G7:G14" si="0">F7/E7</f>
        <v>#REF!</v>
      </c>
      <c r="H7" s="196" t="e">
        <f>H8+H12</f>
        <v>#REF!</v>
      </c>
      <c r="I7" s="197" t="e">
        <f>I8+I12</f>
        <v>#REF!</v>
      </c>
      <c r="J7" s="198" t="e">
        <f t="shared" ref="J7:J14" si="1">I7/H7</f>
        <v>#REF!</v>
      </c>
      <c r="K7" s="196" t="e">
        <f>K8+K12</f>
        <v>#REF!</v>
      </c>
      <c r="L7" s="197" t="e">
        <f>L8+L12</f>
        <v>#REF!</v>
      </c>
      <c r="M7" s="199" t="e">
        <f t="shared" ref="M7:M14" si="2">L7/K7</f>
        <v>#REF!</v>
      </c>
      <c r="N7" s="234" t="e">
        <f>N8+N12</f>
        <v>#REF!</v>
      </c>
      <c r="O7" s="197" t="e">
        <f>O8+O12</f>
        <v>#REF!</v>
      </c>
      <c r="P7" s="235" t="e">
        <f t="shared" ref="P7:P15" si="3">O7/N7</f>
        <v>#REF!</v>
      </c>
    </row>
    <row r="8" spans="1:16" ht="15.75" customHeight="1" x14ac:dyDescent="0.25">
      <c r="A8" s="92"/>
      <c r="C8" s="362"/>
      <c r="D8" s="200" t="s">
        <v>60</v>
      </c>
      <c r="E8" s="201" t="e">
        <f>E9+E10+E11</f>
        <v>#REF!</v>
      </c>
      <c r="F8" s="202" t="e">
        <f>F9+F10+F11</f>
        <v>#REF!</v>
      </c>
      <c r="G8" s="203">
        <v>0</v>
      </c>
      <c r="H8" s="201" t="e">
        <f>H9+H10+H11</f>
        <v>#REF!</v>
      </c>
      <c r="I8" s="202" t="e">
        <f>I9+I10+I11</f>
        <v>#REF!</v>
      </c>
      <c r="J8" s="203" t="e">
        <f>I8/H8</f>
        <v>#REF!</v>
      </c>
      <c r="K8" s="201" t="e">
        <f>K9+K10+K11</f>
        <v>#REF!</v>
      </c>
      <c r="L8" s="202" t="e">
        <f>L9+L10+L11</f>
        <v>#REF!</v>
      </c>
      <c r="M8" s="204">
        <v>0</v>
      </c>
      <c r="N8" s="205" t="e">
        <f>N9+N10+N11</f>
        <v>#REF!</v>
      </c>
      <c r="O8" s="202" t="e">
        <f>O9+O10+O11</f>
        <v>#REF!</v>
      </c>
      <c r="P8" s="206" t="e">
        <f t="shared" si="3"/>
        <v>#REF!</v>
      </c>
    </row>
    <row r="9" spans="1:16" x14ac:dyDescent="0.25">
      <c r="A9" s="92"/>
      <c r="C9" s="362"/>
      <c r="D9" s="207" t="s">
        <v>61</v>
      </c>
      <c r="E9" s="208" t="e">
        <f>COUNTIFS(Январь!C3:C149, "ВЛ", Январь!D3:D149, "0,4", Январь!#REF!, "Восточные ЭС")</f>
        <v>#REF!</v>
      </c>
      <c r="F9" s="209" t="e">
        <f>SUMIFS(Январь!G3:G149, Январь!C3:C149, "ВЛ", Январь!D3:D149, "0,4", Январь!#REF!, "Восточные ЭС")</f>
        <v>#REF!</v>
      </c>
      <c r="G9" s="210">
        <v>0</v>
      </c>
      <c r="H9" s="208" t="e">
        <f>COUNTIFS(Февраль!C3:C133, "ВЛ", Февраль!D3:D133, "0,4", Февраль!#REF!, "Восточные ЭС")</f>
        <v>#REF!</v>
      </c>
      <c r="I9" s="209" t="e">
        <f>SUMIFS(Февраль!G3:G133, Февраль!C3:C133, "ВЛ", Февраль!D3:D133, "0,4", Февраль!#REF!, "Восточные ЭС")</f>
        <v>#REF!</v>
      </c>
      <c r="J9" s="210" t="e">
        <f>I9/H9</f>
        <v>#REF!</v>
      </c>
      <c r="K9" s="212" t="e">
        <f>COUNTIFS(Март!C3:C106, "ВЛ", Март!D3:D106, "0,4", Март!#REF!, "Восточные ЭС")</f>
        <v>#REF!</v>
      </c>
      <c r="L9" s="209" t="e">
        <f>SUMIFS(Март!G3:G106, Март!C3:C106, "ВЛ", Март!D3:D106, "0,4", Март!#REF!, "Восточные ЭС")</f>
        <v>#REF!</v>
      </c>
      <c r="M9" s="211">
        <v>0</v>
      </c>
      <c r="N9" s="213" t="e">
        <f t="shared" ref="N9:O11" si="4">E9+H9+K9</f>
        <v>#REF!</v>
      </c>
      <c r="O9" s="209" t="e">
        <f t="shared" si="4"/>
        <v>#REF!</v>
      </c>
      <c r="P9" s="214" t="e">
        <f>O9/N9</f>
        <v>#REF!</v>
      </c>
    </row>
    <row r="10" spans="1:16" ht="15.75" customHeight="1" x14ac:dyDescent="0.25">
      <c r="C10" s="362"/>
      <c r="D10" s="207" t="s">
        <v>62</v>
      </c>
      <c r="E10" s="208" t="e">
        <f>COUNTIFS(Январь!C3:C149, "КЛ", Январь!D3:D149, "0,4", Январь!#REF!, "Восточные ЭС")</f>
        <v>#REF!</v>
      </c>
      <c r="F10" s="209" t="e">
        <f>SUMIFS(Январь!G3:G149, Январь!C3:C149, "КЛ", Январь!D3:D149, "0,4", Январь!#REF!, "Восточные ЭС")</f>
        <v>#REF!</v>
      </c>
      <c r="G10" s="210">
        <v>0</v>
      </c>
      <c r="H10" s="208" t="e">
        <f>COUNTIFS(Февраль!C3:C133, "КЛ", Февраль!D3:D133, "0,4", Февраль!#REF!, "Восточные ЭС")</f>
        <v>#REF!</v>
      </c>
      <c r="I10" s="209" t="e">
        <f>SUMIFS(Февраль!G3:G133, Февраль!C3:C133, "КЛ", Февраль!D3:D133, "0,4", Февраль!#REF!, "Восточные ЭС")</f>
        <v>#REF!</v>
      </c>
      <c r="J10" s="210">
        <v>0</v>
      </c>
      <c r="K10" s="212" t="e">
        <f>COUNTIFS(Март!C3:C106, "КЛ", Март!D3:D106, "0,4", Март!#REF!, "Восточные ЭС")</f>
        <v>#REF!</v>
      </c>
      <c r="L10" s="209" t="e">
        <f>SUMIFS(Март!G3:G106, Март!C3:C106, "КЛ", Март!D3:D106, "0,4", Март!#REF!, "Восточные ЭС")</f>
        <v>#REF!</v>
      </c>
      <c r="M10" s="211">
        <v>0</v>
      </c>
      <c r="N10" s="213" t="e">
        <f t="shared" si="4"/>
        <v>#REF!</v>
      </c>
      <c r="O10" s="209" t="e">
        <f t="shared" si="4"/>
        <v>#REF!</v>
      </c>
      <c r="P10" s="214">
        <v>0</v>
      </c>
    </row>
    <row r="11" spans="1:16" x14ac:dyDescent="0.25">
      <c r="C11" s="362"/>
      <c r="D11" s="207" t="s">
        <v>63</v>
      </c>
      <c r="E11" s="208" t="e">
        <f>COUNTIFS(Январь!C3:C149, "ТП", Январь!D3:D149, "0,4", Январь!#REF!, "Восточные ЭС")</f>
        <v>#REF!</v>
      </c>
      <c r="F11" s="209" t="e">
        <f>SUMIFS(Январь!G3:G149, Январь!C3:C149, "ТП", Январь!D3:D149, "0,4", Январь!#REF!, "Восточные ЭС")</f>
        <v>#REF!</v>
      </c>
      <c r="G11" s="210">
        <v>0</v>
      </c>
      <c r="H11" s="208" t="e">
        <f>COUNTIFS(Февраль!C3:C133, "ТП", Февраль!D3:D133, "0,4", Февраль!#REF!, "Восточные ЭС")</f>
        <v>#REF!</v>
      </c>
      <c r="I11" s="209" t="e">
        <f>SUMIFS(Февраль!G3:G133, Февраль!C3:C133, "ТП", Февраль!D3:D133, "0,4", Февраль!#REF!, "Восточные ЭС")</f>
        <v>#REF!</v>
      </c>
      <c r="J11" s="210">
        <v>0</v>
      </c>
      <c r="K11" s="212" t="e">
        <f>COUNTIFS(Март!C3:C106, "ТП", Март!D3:D106, "0,4", Март!#REF!, "Восточные ЭС")</f>
        <v>#REF!</v>
      </c>
      <c r="L11" s="209" t="e">
        <f>SUMIFS(Март!G3:G106, Март!C3:C106, "ТП", Март!D3:D106, "0,4", Март!#REF!, "Восточные ЭС")</f>
        <v>#REF!</v>
      </c>
      <c r="M11" s="211">
        <v>0</v>
      </c>
      <c r="N11" s="213" t="e">
        <f t="shared" si="4"/>
        <v>#REF!</v>
      </c>
      <c r="O11" s="209" t="e">
        <f t="shared" si="4"/>
        <v>#REF!</v>
      </c>
      <c r="P11" s="214">
        <v>0</v>
      </c>
    </row>
    <row r="12" spans="1:16" x14ac:dyDescent="0.25">
      <c r="C12" s="362"/>
      <c r="D12" s="200" t="s">
        <v>64</v>
      </c>
      <c r="E12" s="201" t="e">
        <f>E13+E14+E15+E16+E17+E18</f>
        <v>#REF!</v>
      </c>
      <c r="F12" s="202" t="e">
        <f>F13+F14+F15+F16+F17+F18</f>
        <v>#REF!</v>
      </c>
      <c r="G12" s="203" t="e">
        <f t="shared" si="0"/>
        <v>#REF!</v>
      </c>
      <c r="H12" s="201" t="e">
        <f>H13+H14+H15+H16+H17+H18</f>
        <v>#REF!</v>
      </c>
      <c r="I12" s="202" t="e">
        <f>I13+I14+I15+I16+I17+I18</f>
        <v>#REF!</v>
      </c>
      <c r="J12" s="203" t="e">
        <f t="shared" si="1"/>
        <v>#REF!</v>
      </c>
      <c r="K12" s="201" t="e">
        <f>K13+K14+K15+K16+K17+K18</f>
        <v>#REF!</v>
      </c>
      <c r="L12" s="202" t="e">
        <f>L13+L14+L15+L16+L17+L18</f>
        <v>#REF!</v>
      </c>
      <c r="M12" s="204" t="e">
        <f t="shared" si="2"/>
        <v>#REF!</v>
      </c>
      <c r="N12" s="205" t="e">
        <f>N13+N14+N15+N16+N17+N18</f>
        <v>#REF!</v>
      </c>
      <c r="O12" s="202" t="e">
        <f>O13+O14+O15+O16+O17+O18</f>
        <v>#REF!</v>
      </c>
      <c r="P12" s="206" t="e">
        <f t="shared" si="3"/>
        <v>#REF!</v>
      </c>
    </row>
    <row r="13" spans="1:16" x14ac:dyDescent="0.25">
      <c r="C13" s="362"/>
      <c r="D13" s="207" t="s">
        <v>61</v>
      </c>
      <c r="E13" s="208" t="e">
        <f>COUNTIFS(Январь!C3:C149, "ВЛ", Январь!D3:D149, "6", Январь!#REF!, "Восточные ЭС")+COUNTIFS(Январь!C3:C149, "ВЛ", Январь!D3:D149, "10", Январь!#REF!, "Восточные ЭС")+COUNTIFS(Январь!C3:C149, "ВЛ", Январь!D3:D149, "35", Январь!#REF!, "Восточные ЭС")+COUNTIFS(Январь!C3:C149, "ВЛ", Январь!D3:D149, "110", Январь!#REF!, "Восточные ЭС")</f>
        <v>#REF!</v>
      </c>
      <c r="F13" s="209" t="e">
        <f>SUMIFS(Январь!G3:G149, Январь!C3:C149, "ВЛ", Январь!D3:D149, "6", Январь!#REF!, "Восточные ЭС")+SUMIFS(Январь!G3:G149, Январь!C3:C149, "ВЛ", Январь!D3:D149, "10", Январь!#REF!, "Восточные ЭС")+SUMIFS(Январь!G3:G149, Январь!C3:C149, "ВЛ", Январь!D3:D149, "35", Январь!#REF!, "Восточные ЭС")+SUMIFS(Январь!G3:G149, Январь!C3:C149, "ВЛ", Январь!D3:D149, "110", Январь!#REF!, "Восточные ЭС")</f>
        <v>#REF!</v>
      </c>
      <c r="G13" s="210" t="e">
        <f t="shared" si="0"/>
        <v>#REF!</v>
      </c>
      <c r="H13" s="208" t="e">
        <f>COUNTIFS(Февраль!C3:C133, "ВЛ", Февраль!D3:D133, "6", Февраль!#REF!, "Восточные ЭС")+COUNTIFS(Февраль!C3:C133, "ВЛ", Февраль!D3:D133, "10", Февраль!#REF!, "Восточные ЭС")+COUNTIFS(Февраль!C3:C133, "ВЛ", Февраль!D3:D133, "35", Февраль!#REF!, "Восточные ЭС")+COUNTIFS(Февраль!C3:C133, "ВЛ", Февраль!D3:D133, "110", Февраль!#REF!, "Восточные ЭС")</f>
        <v>#REF!</v>
      </c>
      <c r="I13" s="209" t="e">
        <f>SUMIFS(Февраль!G3:G133, Февраль!C3:C133, "ВЛ", Февраль!D3:D133, "6", Февраль!#REF!, "Восточные ЭС")+SUMIFS(Февраль!G3:G133, Февраль!C3:C133, "ВЛ", Февраль!D3:D133, "10", Февраль!#REF!, "Восточные ЭС")+SUMIFS(Февраль!G3:G133, Февраль!C3:C133, "ВЛ", Февраль!D3:D133, "35", Февраль!#REF!, "Восточные ЭС")+SUMIFS(Февраль!G3:G133, Февраль!C3:C133, "ВЛ", Февраль!D3:D133, "110", Февраль!#REF!, "Восточные ЭС")</f>
        <v>#REF!</v>
      </c>
      <c r="J13" s="210" t="e">
        <f t="shared" si="1"/>
        <v>#REF!</v>
      </c>
      <c r="K13" s="212" t="e">
        <f>COUNTIFS(Март!C3:C106, "ВЛ", Март!D3:D106, "6", Март!#REF!, "Восточные ЭС")+COUNTIFS(Март!C3:C106, "ВЛ", Март!D3:D106, "10", Март!#REF!, "Восточные ЭС")+COUNTIFS(Март!C3:C106, "ВЛ", Март!D3:D106, "35", Март!#REF!, "Восточные ЭС")+COUNTIFS(Март!C3:C106, "ВЛ", Март!D3:D106, "110", Март!#REF!, "Восточные ЭС")</f>
        <v>#REF!</v>
      </c>
      <c r="L13" s="209" t="e">
        <f>SUMIFS(Март!G3:G106, Март!C3:C106, "ВЛ", Март!D3:D106, "6", Март!#REF!, "Восточные ЭС")+SUMIFS(Март!G3:G106, Март!C3:C106, "ВЛ", Март!D3:D106, "10", Март!#REF!, "Восточные ЭС")+SUMIFS(Март!G3:G106, Март!C3:C106, "ВЛ", Март!D3:D106, "35", Март!#REF!, "Восточные ЭС")+SUMIFS(Март!G3:G106, Март!C3:C106, "ВЛ", Март!D3:D106, "110", Март!#REF!, "Восточные ЭС")</f>
        <v>#REF!</v>
      </c>
      <c r="M13" s="211" t="e">
        <f t="shared" si="2"/>
        <v>#REF!</v>
      </c>
      <c r="N13" s="213" t="e">
        <f t="shared" ref="N13:O15" si="5">E13+H13+K13</f>
        <v>#REF!</v>
      </c>
      <c r="O13" s="209" t="e">
        <f t="shared" si="5"/>
        <v>#REF!</v>
      </c>
      <c r="P13" s="214" t="e">
        <f t="shared" si="3"/>
        <v>#REF!</v>
      </c>
    </row>
    <row r="14" spans="1:16" x14ac:dyDescent="0.25">
      <c r="C14" s="362"/>
      <c r="D14" s="207" t="s">
        <v>62</v>
      </c>
      <c r="E14" s="208" t="e">
        <f>COUNTIFS(Январь!C3:C149, "КЛ", Январь!D3:D149, "6", Январь!#REF!, "Восточные ЭС")+COUNTIFS(Январь!C3:C149, "КЛ", Январь!D3:D149, "10", Январь!#REF!, "Восточные ЭС")+COUNTIFS(Январь!C3:C149, "КЛ", Январь!D3:D149, "35", Январь!#REF!, "Восточные ЭС")+COUNTIFS(Январь!C3:C149, "КЛ", Январь!D3:D149, "110", Январь!#REF!, "Восточные ЭС")</f>
        <v>#REF!</v>
      </c>
      <c r="F14" s="209" t="e">
        <f>SUMIFS(Январь!G3:G149, Январь!C3:C149, "КЛ", Январь!D3:D149, "6", Январь!#REF!, "Восточные ЭС")+SUMIFS(Январь!G3:G149, Январь!C3:C149, "КЛ", Январь!D3:D149, "10", Январь!#REF!, "Восточные ЭС")+SUMIFS(Январь!G3:G149, Январь!C3:C149, "КЛ", Январь!D3:D149, "35", Январь!#REF!, "Восточные ЭС")+SUMIFS(Январь!G3:G149, Январь!C3:C149, "КЛ", Январь!D3:D149, "110", Январь!#REF!, "Восточные ЭС")</f>
        <v>#REF!</v>
      </c>
      <c r="G14" s="210" t="e">
        <f t="shared" si="0"/>
        <v>#REF!</v>
      </c>
      <c r="H14" s="208" t="e">
        <f>COUNTIFS(Февраль!C3:C133, "КЛ", Февраль!D3:D133, "6", Февраль!#REF!, "Восточные ЭС")+COUNTIFS(Февраль!C3:C133, "КЛ", Февраль!D3:D133, "10", Февраль!#REF!, "Восточные ЭС")+COUNTIFS(Февраль!C3:C133, "КЛ", Февраль!D3:D133, "35", Февраль!#REF!, "Восточные ЭС")+COUNTIFS(Февраль!C3:C133, "КЛ", Февраль!D3:D133, "110", Февраль!#REF!, "Восточные ЭС")</f>
        <v>#REF!</v>
      </c>
      <c r="I14" s="209" t="e">
        <f>SUMIFS(Февраль!G3:G133, Февраль!C3:C133, "КЛ", Февраль!D3:D133, "6", Февраль!#REF!, "Восточные ЭС")+SUMIFS(Февраль!G3:G133, Февраль!C3:C133, "КЛ", Февраль!D3:D133, "10", Февраль!#REF!, "Восточные ЭС")+SUMIFS(Февраль!G3:G133, Февраль!C3:C133, "КЛ", Февраль!D3:D133, "35", Февраль!#REF!, "Восточные ЭС")+SUMIFS(Февраль!G3:G133, Февраль!C3:C133, "КЛ", Февраль!D3:D133, "110", Февраль!#REF!, "Восточные ЭС")</f>
        <v>#REF!</v>
      </c>
      <c r="J14" s="210" t="e">
        <f t="shared" si="1"/>
        <v>#REF!</v>
      </c>
      <c r="K14" s="212" t="e">
        <f>COUNTIFS(Март!C3:C106, "КЛ", Март!D3:D106, "6", Март!#REF!, "Восточные ЭС")+COUNTIFS(Март!C3:C106, "КЛ", Март!D3:D106, "10", Март!#REF!, "Восточные ЭС")+COUNTIFS(Март!C3:C106, "КЛ", Март!D3:D106, "35", Март!#REF!, "Восточные ЭС")+COUNTIFS(Март!C3:C106, "КЛ", Март!D3:D106, "110", Март!#REF!, "Восточные ЭС")</f>
        <v>#REF!</v>
      </c>
      <c r="L14" s="209" t="e">
        <f>SUMIFS(Март!G3:G106, Март!C3:C106, "КЛ", Март!D3:D106, "6", Март!#REF!, "Восточные ЭС")+SUMIFS(Март!G3:G106, Март!C3:C106, "КЛ", Март!D3:D106, "10", Март!#REF!, "Восточные ЭС")+SUMIFS(Март!G3:G106, Март!C3:C106, "КЛ", Март!D3:D106, "35", Март!#REF!, "Восточные ЭС")+SUMIFS(Март!G3:G106, Март!C3:C106, "КЛ", Март!D3:D106, "110", Март!#REF!, "Восточные ЭС")</f>
        <v>#REF!</v>
      </c>
      <c r="M14" s="211" t="e">
        <f t="shared" si="2"/>
        <v>#REF!</v>
      </c>
      <c r="N14" s="213" t="e">
        <f t="shared" si="5"/>
        <v>#REF!</v>
      </c>
      <c r="O14" s="209" t="e">
        <f t="shared" si="5"/>
        <v>#REF!</v>
      </c>
      <c r="P14" s="214" t="e">
        <f t="shared" si="3"/>
        <v>#REF!</v>
      </c>
    </row>
    <row r="15" spans="1:16" x14ac:dyDescent="0.25">
      <c r="C15" s="362"/>
      <c r="D15" s="207" t="s">
        <v>65</v>
      </c>
      <c r="E15" s="208" t="e">
        <f>COUNTIFS(Январь!C3:C149, "ТП", Январь!D3:D149, "6", Январь!#REF!, "Восточные ЭС")+COUNTIFS(Январь!C3:C149, "ТП", Январь!D3:D149, "10", Январь!#REF!, "Восточные ЭС")+COUNTIFS(Январь!C3:C149, "ПС", Январь!D3:D149, "6", Январь!#REF!, "Восточные ЭС")+COUNTIFS(Январь!C3:C149, "ПС", Январь!D3:D149, "10", Январь!#REF!, "Восточные ЭС")+COUNTIFS(Январь!C3:C149, "РП", Январь!D3:D149, "6", Январь!#REF!, "Восточные ЭС")+COUNTIFS(Январь!C3:C149, "РП", Январь!D3:D149, "10", Январь!#REF!, "Восточные ЭС")</f>
        <v>#REF!</v>
      </c>
      <c r="F15" s="209" t="e">
        <f>SUMIFS(Январь!G3:G149, Январь!C3:C149, "ТП", Январь!D3:D149, "6", Январь!#REF!, "Восточные ЭС")+SUMIFS(Январь!G3:G149, Январь!C3:C149, "ТП", Январь!D3:D149, "10", Январь!#REF!, "Восточные ЭС")+SUMIFS(Январь!G3:G149, Январь!C3:C149, "ПС", Январь!D3:D149, "6", Январь!#REF!, "Восточные ЭС")+SUMIFS(Январь!G3:G149, Январь!C3:C149, "ПС", Январь!D3:D149, "10", Январь!#REF!, "Восточные ЭС")+SUMIFS(Январь!G3:G149, Январь!C3:C149, "РП", Январь!D3:D149, "6", Январь!#REF!, "Восточные ЭС")+SUMIFS(Январь!G3:G149, Январь!C3:C149, "РП", Январь!D3:D149, "10", Январь!#REF!, "Восточные ЭС")</f>
        <v>#REF!</v>
      </c>
      <c r="G15" s="210" t="e">
        <f>F15/E15</f>
        <v>#REF!</v>
      </c>
      <c r="H15" s="208" t="e">
        <f>COUNTIFS(Февраль!C3:C133, "ТП", Февраль!D3:D133, "6", Февраль!#REF!, "Восточные ЭС")+COUNTIFS(Февраль!C3:C133, "ТП", Февраль!D3:D133, "10", Февраль!#REF!, "Восточные ЭС")+COUNTIFS(Февраль!C3:C133, "ПС", Февраль!D3:D133, "6", Февраль!#REF!, "Восточные ЭС")+COUNTIFS(Февраль!C3:C133, "ПС", Февраль!D3:D133, "10", Февраль!#REF!, "Восточные ЭС")</f>
        <v>#REF!</v>
      </c>
      <c r="I15" s="209" t="e">
        <f>SUMIFS(Февраль!G3:G133, Февраль!C3:C133, "ТП", Февраль!D3:D133, "6", Февраль!#REF!, "Восточные ЭС")+SUMIFS(Февраль!G3:G133, Февраль!C3:C133, "ТП", Февраль!D3:D133, "10", Февраль!#REF!, "Восточные ЭС")+SUMIFS(Февраль!G3:G133, Февраль!C3:C133, "ПС", Февраль!D3:D133, "6", Февраль!#REF!, "Восточные ЭС")+SUMIFS(Февраль!G3:G133, Февраль!C3:C133, "ПС", Февраль!D3:D133, "10", Февраль!#REF!, "Восточные ЭС")</f>
        <v>#REF!</v>
      </c>
      <c r="J15" s="210" t="e">
        <f>I15/H15</f>
        <v>#REF!</v>
      </c>
      <c r="K15" s="212" t="e">
        <f>COUNTIFS(Март!C3:C106, "ТП", Март!D3:D106, "6", Март!#REF!, "Восточные ЭС")+COUNTIFS(Март!C3:C106, "ТП", Март!D3:D106, "10", Март!#REF!, "Восточные ЭС")+COUNTIFS(Март!C3:C106, "ПС", Март!D3:D106, "6", Март!#REF!, "Восточные ЭС")+COUNTIFS(Март!C3:C106, "ПС", Март!D3:D106, "10", Март!#REF!, "Восточные ЭС")</f>
        <v>#REF!</v>
      </c>
      <c r="L15" s="209" t="e">
        <f>SUMIFS(Март!G3:G106, Март!C3:C106, "ТП", Март!D3:D106, "6", Март!#REF!, "Восточные ЭС")+SUMIFS(Март!G3:G106, Март!C3:C106, "ТП", Март!D3:D106, "10", Март!#REF!, "Восточные ЭС")+SUMIFS(Март!G3:G106, Март!C3:C106, "ПС", Март!D3:D106, "6", Март!#REF!, "Восточные ЭС")+SUMIFS(Март!G3:G106, Март!C3:C106, "ПС", Март!D3:D106, "10", Март!#REF!, "Восточные ЭС")</f>
        <v>#REF!</v>
      </c>
      <c r="M15" s="211">
        <v>0</v>
      </c>
      <c r="N15" s="213" t="e">
        <f t="shared" si="5"/>
        <v>#REF!</v>
      </c>
      <c r="O15" s="209" t="e">
        <f t="shared" si="5"/>
        <v>#REF!</v>
      </c>
      <c r="P15" s="214" t="e">
        <f t="shared" si="3"/>
        <v>#REF!</v>
      </c>
    </row>
    <row r="16" spans="1:16" x14ac:dyDescent="0.25">
      <c r="C16" s="362"/>
      <c r="D16" s="207" t="s">
        <v>66</v>
      </c>
      <c r="E16" s="208">
        <v>0</v>
      </c>
      <c r="F16" s="209">
        <v>0</v>
      </c>
      <c r="G16" s="210">
        <v>0</v>
      </c>
      <c r="H16" s="208">
        <v>0</v>
      </c>
      <c r="I16" s="209">
        <v>0</v>
      </c>
      <c r="J16" s="211">
        <v>0</v>
      </c>
      <c r="K16" s="212">
        <v>0</v>
      </c>
      <c r="L16" s="209">
        <v>0</v>
      </c>
      <c r="M16" s="211">
        <v>0</v>
      </c>
      <c r="N16" s="213">
        <v>0</v>
      </c>
      <c r="O16" s="209">
        <v>0</v>
      </c>
      <c r="P16" s="214">
        <v>0</v>
      </c>
    </row>
    <row r="17" spans="2:16" ht="18.75" x14ac:dyDescent="0.3">
      <c r="B17" s="215"/>
      <c r="C17" s="362"/>
      <c r="D17" s="207" t="s">
        <v>67</v>
      </c>
      <c r="E17" s="208">
        <v>0</v>
      </c>
      <c r="F17" s="209">
        <v>0</v>
      </c>
      <c r="G17" s="210">
        <v>0</v>
      </c>
      <c r="H17" s="208">
        <v>0</v>
      </c>
      <c r="I17" s="209">
        <v>0</v>
      </c>
      <c r="J17" s="211">
        <v>0</v>
      </c>
      <c r="K17" s="212">
        <v>0</v>
      </c>
      <c r="L17" s="209">
        <v>0</v>
      </c>
      <c r="M17" s="211">
        <v>0</v>
      </c>
      <c r="N17" s="213">
        <v>0</v>
      </c>
      <c r="O17" s="209">
        <v>0</v>
      </c>
      <c r="P17" s="214">
        <v>0</v>
      </c>
    </row>
    <row r="18" spans="2:16" ht="15.75" thickBot="1" x14ac:dyDescent="0.3">
      <c r="C18" s="363"/>
      <c r="D18" s="216" t="s">
        <v>68</v>
      </c>
      <c r="E18" s="217">
        <v>0</v>
      </c>
      <c r="F18" s="218">
        <v>0</v>
      </c>
      <c r="G18" s="219">
        <v>0</v>
      </c>
      <c r="H18" s="217">
        <v>0</v>
      </c>
      <c r="I18" s="218">
        <v>0</v>
      </c>
      <c r="J18" s="220">
        <v>0</v>
      </c>
      <c r="K18" s="221">
        <v>0</v>
      </c>
      <c r="L18" s="218">
        <v>0</v>
      </c>
      <c r="M18" s="220">
        <v>0</v>
      </c>
      <c r="N18" s="243">
        <v>0</v>
      </c>
      <c r="O18" s="242">
        <v>0</v>
      </c>
      <c r="P18" s="244">
        <v>0</v>
      </c>
    </row>
    <row r="19" spans="2:16" ht="15" customHeight="1" x14ac:dyDescent="0.25">
      <c r="C19" s="364" t="s">
        <v>46</v>
      </c>
      <c r="D19" s="222" t="s">
        <v>59</v>
      </c>
      <c r="E19" s="196" t="e">
        <f>E20+E24</f>
        <v>#REF!</v>
      </c>
      <c r="F19" s="197" t="e">
        <f>F20+F24</f>
        <v>#REF!</v>
      </c>
      <c r="G19" s="198" t="e">
        <f t="shared" ref="G19:G26" si="6">F19/E19</f>
        <v>#REF!</v>
      </c>
      <c r="H19" s="196" t="e">
        <f>H20+H24</f>
        <v>#REF!</v>
      </c>
      <c r="I19" s="197" t="e">
        <f>I20+I24</f>
        <v>#REF!</v>
      </c>
      <c r="J19" s="198" t="e">
        <f t="shared" ref="J19:J26" si="7">I19/H19</f>
        <v>#REF!</v>
      </c>
      <c r="K19" s="196" t="e">
        <f>K20+K24</f>
        <v>#REF!</v>
      </c>
      <c r="L19" s="197" t="e">
        <f>L20+L24</f>
        <v>#REF!</v>
      </c>
      <c r="M19" s="199" t="e">
        <f t="shared" ref="M19:M25" si="8">L19/K19</f>
        <v>#REF!</v>
      </c>
      <c r="N19" s="224" t="e">
        <f>N20+N24</f>
        <v>#REF!</v>
      </c>
      <c r="O19" s="223" t="e">
        <f>O20+O24</f>
        <v>#REF!</v>
      </c>
      <c r="P19" s="225" t="e">
        <f t="shared" ref="P19:P26" si="9">O19/N19</f>
        <v>#REF!</v>
      </c>
    </row>
    <row r="20" spans="2:16" ht="15" customHeight="1" x14ac:dyDescent="0.25">
      <c r="C20" s="362"/>
      <c r="D20" s="200" t="s">
        <v>60</v>
      </c>
      <c r="E20" s="201" t="e">
        <f>E21+E22+E23</f>
        <v>#REF!</v>
      </c>
      <c r="F20" s="202" t="e">
        <f>F21+F22+F23</f>
        <v>#REF!</v>
      </c>
      <c r="G20" s="203">
        <v>0</v>
      </c>
      <c r="H20" s="201" t="e">
        <f>H21+H22+H23</f>
        <v>#REF!</v>
      </c>
      <c r="I20" s="202" t="e">
        <f>I21+I22+I23</f>
        <v>#REF!</v>
      </c>
      <c r="J20" s="203">
        <v>0</v>
      </c>
      <c r="K20" s="201" t="e">
        <f>K21+K22+K23</f>
        <v>#REF!</v>
      </c>
      <c r="L20" s="202" t="e">
        <f>L21+L22+L23</f>
        <v>#REF!</v>
      </c>
      <c r="M20" s="204">
        <v>0</v>
      </c>
      <c r="N20" s="205" t="e">
        <f>N21+N22+N23</f>
        <v>#REF!</v>
      </c>
      <c r="O20" s="202" t="e">
        <f>O21+O22+O23</f>
        <v>#REF!</v>
      </c>
      <c r="P20" s="206">
        <v>0</v>
      </c>
    </row>
    <row r="21" spans="2:16" x14ac:dyDescent="0.25">
      <c r="C21" s="362"/>
      <c r="D21" s="207" t="s">
        <v>61</v>
      </c>
      <c r="E21" s="208" t="e">
        <f>COUNTIFS(Январь!C3:C149, "ВЛ", Январь!D3:D149, "0,4", Январь!#REF!, "Западные ЭС")</f>
        <v>#REF!</v>
      </c>
      <c r="F21" s="209" t="e">
        <f>SUMIFS(Январь!G3:G149, Январь!C3:C149, "ВЛ", Январь!D3:D149, "0,4", Январь!#REF!, "Западные ЭС")</f>
        <v>#REF!</v>
      </c>
      <c r="G21" s="210">
        <v>0</v>
      </c>
      <c r="H21" s="208" t="e">
        <f>COUNTIFS(Февраль!C3:C133, "ВЛ", Февраль!D3:D133, "0,4", Февраль!#REF!, "Западные ЭС")</f>
        <v>#REF!</v>
      </c>
      <c r="I21" s="209" t="e">
        <f>SUMIFS(Февраль!G3:G133, Февраль!C3:C133, "ВЛ", Февраль!D3:D133, "0,4", Февраль!#REF!, "Западные ЭС")</f>
        <v>#REF!</v>
      </c>
      <c r="J21" s="210">
        <v>0</v>
      </c>
      <c r="K21" s="212" t="e">
        <f>COUNTIFS(Март!C6:C155, "ВЛ", Март!D6:D155, "0,4", Март!#REF!, "Западные ЭС")</f>
        <v>#REF!</v>
      </c>
      <c r="L21" s="209" t="e">
        <f>SUMIFS(Март!G6:G155, Март!C6:C155, "ВЛ", Март!D6:D155, "0,4", Март!#REF!, "Западные ЭС")</f>
        <v>#REF!</v>
      </c>
      <c r="M21" s="211">
        <v>0</v>
      </c>
      <c r="N21" s="213" t="e">
        <f t="shared" ref="N21:O23" si="10">E21+H21+K21</f>
        <v>#REF!</v>
      </c>
      <c r="O21" s="209" t="e">
        <f t="shared" si="10"/>
        <v>#REF!</v>
      </c>
      <c r="P21" s="214">
        <v>0</v>
      </c>
    </row>
    <row r="22" spans="2:16" x14ac:dyDescent="0.25">
      <c r="C22" s="362"/>
      <c r="D22" s="207" t="s">
        <v>62</v>
      </c>
      <c r="E22" s="208" t="e">
        <f>COUNTIFS(Январь!C3:C149, "КЛ", Январь!D3:D149, "0,4", Январь!#REF!, "Западные ЭС")</f>
        <v>#REF!</v>
      </c>
      <c r="F22" s="209" t="e">
        <f>SUMIFS(Январь!G3:G149, Январь!C3:C149, "КЛ", Январь!D3:D149, "0,4", Январь!#REF!, "Западные ЭС")</f>
        <v>#REF!</v>
      </c>
      <c r="G22" s="210">
        <v>0</v>
      </c>
      <c r="H22" s="208" t="e">
        <f>COUNTIFS(Февраль!C3:C133, "КЛ", Февраль!D3:D133, "0,4", Февраль!#REF!, "Западные ЭС")</f>
        <v>#REF!</v>
      </c>
      <c r="I22" s="209" t="e">
        <f>SUMIFS(Февраль!G3:G133, Февраль!C3:C133, "КЛ", Февраль!D3:D133, "0,4", Февраль!#REF!, "Западные ЭС")</f>
        <v>#REF!</v>
      </c>
      <c r="J22" s="210">
        <v>0</v>
      </c>
      <c r="K22" s="212" t="e">
        <f>COUNTIFS(Март!C6:C155, "КЛ", Март!D6:D155, "0,4", Март!#REF!, "Западные ЭС")</f>
        <v>#REF!</v>
      </c>
      <c r="L22" s="209" t="e">
        <f>SUMIFS(Март!G6:G155, Март!C6:C155, "КЛ", Март!D6:D155, "0,4", Март!#REF!, "Западные ЭС")</f>
        <v>#REF!</v>
      </c>
      <c r="M22" s="211">
        <v>0</v>
      </c>
      <c r="N22" s="213" t="e">
        <f t="shared" si="10"/>
        <v>#REF!</v>
      </c>
      <c r="O22" s="209" t="e">
        <f t="shared" si="10"/>
        <v>#REF!</v>
      </c>
      <c r="P22" s="214">
        <v>0</v>
      </c>
    </row>
    <row r="23" spans="2:16" x14ac:dyDescent="0.25">
      <c r="C23" s="362"/>
      <c r="D23" s="207" t="s">
        <v>63</v>
      </c>
      <c r="E23" s="208" t="e">
        <f>COUNTIFS(Январь!C3:C149, "ТП", Январь!D3:D149, "0,4", Январь!#REF!, "Западные ЭС")</f>
        <v>#REF!</v>
      </c>
      <c r="F23" s="209" t="e">
        <f>SUMIFS(Январь!G3:G149, Январь!C3:C149, "ТП", Январь!D3:D149, "0,4", Январь!#REF!, "Западные ЭС")</f>
        <v>#REF!</v>
      </c>
      <c r="G23" s="210">
        <v>0</v>
      </c>
      <c r="H23" s="208" t="e">
        <f>COUNTIFS(Февраль!C3:C133, "ТП", Февраль!D3:D133, "0,4", Февраль!#REF!, "Западные ЭС")</f>
        <v>#REF!</v>
      </c>
      <c r="I23" s="209" t="e">
        <f>SUMIFS(Февраль!G3:G133, Февраль!C3:C133, "ТП", Февраль!D3:D133, "0,4", Февраль!#REF!, "Западные ЭС")</f>
        <v>#REF!</v>
      </c>
      <c r="J23" s="210">
        <v>0</v>
      </c>
      <c r="K23" s="212" t="e">
        <f>COUNTIFS(Март!C6:C155, "ТП", Март!D6:D155, "0,4", Март!#REF!, "Западные ЭС")</f>
        <v>#REF!</v>
      </c>
      <c r="L23" s="209" t="e">
        <f>SUMIFS(Март!G6:G155, Март!C6:C155, "ТП", Март!D6:D155, "0,4", Март!#REF!, "Западные ЭС")</f>
        <v>#REF!</v>
      </c>
      <c r="M23" s="211">
        <v>0</v>
      </c>
      <c r="N23" s="213" t="e">
        <f t="shared" si="10"/>
        <v>#REF!</v>
      </c>
      <c r="O23" s="209" t="e">
        <f t="shared" si="10"/>
        <v>#REF!</v>
      </c>
      <c r="P23" s="214">
        <v>0</v>
      </c>
    </row>
    <row r="24" spans="2:16" x14ac:dyDescent="0.25">
      <c r="C24" s="362"/>
      <c r="D24" s="200" t="s">
        <v>64</v>
      </c>
      <c r="E24" s="201" t="e">
        <f>E25+E26+E27+E28+E29+E30</f>
        <v>#REF!</v>
      </c>
      <c r="F24" s="202" t="e">
        <f>F25+F26+F27+F28+F29+F30</f>
        <v>#REF!</v>
      </c>
      <c r="G24" s="203" t="e">
        <f t="shared" si="6"/>
        <v>#REF!</v>
      </c>
      <c r="H24" s="201" t="e">
        <f>H25+H26+H27+H28+H29+H30</f>
        <v>#REF!</v>
      </c>
      <c r="I24" s="202" t="e">
        <f>I25+I26+I27+I28+I29+I30</f>
        <v>#REF!</v>
      </c>
      <c r="J24" s="203" t="e">
        <f t="shared" si="7"/>
        <v>#REF!</v>
      </c>
      <c r="K24" s="201" t="e">
        <f>K25+K26+K27+K28+K29+K30</f>
        <v>#REF!</v>
      </c>
      <c r="L24" s="202" t="e">
        <f>L25+L26+L27+L28+L29+L30</f>
        <v>#REF!</v>
      </c>
      <c r="M24" s="204" t="e">
        <f t="shared" si="8"/>
        <v>#REF!</v>
      </c>
      <c r="N24" s="205" t="e">
        <f>N25+N26+N27+N28+N29+N30</f>
        <v>#REF!</v>
      </c>
      <c r="O24" s="202" t="e">
        <f>O25+O26+O27+O28+O29+O30</f>
        <v>#REF!</v>
      </c>
      <c r="P24" s="206" t="e">
        <f t="shared" si="9"/>
        <v>#REF!</v>
      </c>
    </row>
    <row r="25" spans="2:16" x14ac:dyDescent="0.25">
      <c r="C25" s="362"/>
      <c r="D25" s="207" t="s">
        <v>61</v>
      </c>
      <c r="E25" s="208" t="e">
        <f>COUNTIFS(Январь!C3:C149, "ВЛ", Январь!D3:D149, "6", Январь!#REF!, "Западные ЭС")+COUNTIFS(Январь!C3:C149, "ВЛ", Январь!D3:D149, "10", Январь!#REF!, "Западные ЭС")+COUNTIFS(Январь!C3:C149, "ВЛ", Январь!D3:D149, "35", Январь!#REF!, "Западные ЭС")+COUNTIFS(Январь!C3:C149, "ВЛ", Январь!D3:D149, "110", Январь!#REF!, "Западные ЭС")</f>
        <v>#REF!</v>
      </c>
      <c r="F25" s="209" t="e">
        <f>SUMIFS(Январь!G3:G149, Январь!C3:C149, "ВЛ", Январь!D3:D149, "6", Январь!#REF!, "Западные ЭС")+SUMIFS(Январь!G3:G149, Январь!C3:C149, "ВЛ", Январь!D3:D149, "10", Январь!#REF!, "Западные ЭС")+SUMIFS(Январь!G3:G149, Январь!C3:C149, "ВЛ", Январь!D3:D149, "35", Январь!#REF!, "Западные ЭС")+SUMIFS(Январь!G3:G149, Январь!C3:C149, "ВЛ", Январь!D3:D149, "110", Январь!#REF!, "Западные ЭС")</f>
        <v>#REF!</v>
      </c>
      <c r="G25" s="210" t="e">
        <f t="shared" si="6"/>
        <v>#REF!</v>
      </c>
      <c r="H25" s="208" t="e">
        <f>COUNTIFS(Февраль!C3:C133, "ВЛ", Февраль!D3:D133, "6", Февраль!#REF!, "Западные ЭС")+COUNTIFS(Февраль!C3:C133, "ВЛ", Февраль!D3:D133, "10", Февраль!#REF!, "Западные ЭС")+COUNTIFS(Февраль!C3:C133, "ВЛ", Февраль!D3:D133, "35", Февраль!#REF!, "Западные ЭС")+COUNTIFS(Февраль!C3:C133, "ВЛ", Февраль!D3:D133, "110", Февраль!#REF!, "Западные ЭС")</f>
        <v>#REF!</v>
      </c>
      <c r="I25" s="209" t="e">
        <f>SUMIFS(Февраль!G3:G133, Февраль!C3:C133, "ВЛ", Февраль!D3:D133, "6", Февраль!#REF!, "Западные ЭС")+SUMIFS(Февраль!G3:G133, Февраль!C3:C133, "ВЛ", Февраль!D3:D133, "10", Февраль!#REF!, "Западные ЭС")+SUMIFS(Февраль!G3:G133, Февраль!C3:C133, "ВЛ", Февраль!D3:D133, "35", Февраль!#REF!, "Западные ЭС")+SUMIFS(Февраль!G3:G133, Февраль!C3:C133, "ВЛ", Февраль!D3:D133, "110", Февраль!#REF!, "Западные ЭС")</f>
        <v>#REF!</v>
      </c>
      <c r="J25" s="210" t="e">
        <f t="shared" si="7"/>
        <v>#REF!</v>
      </c>
      <c r="K25" s="212" t="e">
        <f>COUNTIFS(Март!C6:C155, "ВЛ", Март!D6:D155, "6", Март!#REF!, "Западные ЭС")+COUNTIFS(Март!C6:C155, "ВЛ", Март!D6:D155, "10", Март!#REF!, "Западные ЭС")+COUNTIFS(Март!C6:C155, "ВЛ", Март!D6:D155, "35", Март!#REF!, "Западные ЭС")+COUNTIFS(Март!C6:C155, "ВЛ", Март!D6:D155, "110", Март!#REF!, "Западные ЭС")</f>
        <v>#REF!</v>
      </c>
      <c r="L25" s="209" t="e">
        <f>SUMIFS(Март!G6:G155, Март!C6:C155, "ВЛ", Март!D6:D155, "6", Март!#REF!, "Западные ЭС")+SUMIFS(Март!G6:G155, Март!C6:C155, "ВЛ", Март!D6:D155, "10", Март!#REF!, "Западные ЭС")+SUMIFS(Март!G6:G155, Март!C6:C155, "ВЛ", Март!D6:D155, "35", Март!#REF!, "Западные ЭС")+SUMIFS(Март!G6:G155, Март!C6:C155, "ВЛ", Март!D6:D155, "110", Март!#REF!, "Западные ЭС")</f>
        <v>#REF!</v>
      </c>
      <c r="M25" s="211" t="e">
        <f t="shared" si="8"/>
        <v>#REF!</v>
      </c>
      <c r="N25" s="213" t="e">
        <f t="shared" ref="N25:O27" si="11">E25+H25+K25</f>
        <v>#REF!</v>
      </c>
      <c r="O25" s="209" t="e">
        <f t="shared" si="11"/>
        <v>#REF!</v>
      </c>
      <c r="P25" s="214" t="e">
        <f t="shared" si="9"/>
        <v>#REF!</v>
      </c>
    </row>
    <row r="26" spans="2:16" x14ac:dyDescent="0.25">
      <c r="C26" s="362"/>
      <c r="D26" s="207" t="s">
        <v>62</v>
      </c>
      <c r="E26" s="208" t="e">
        <f>COUNTIFS(Январь!C3:C149, "КЛ", Январь!D3:D149, "6", Январь!#REF!, "Западные ЭС")+COUNTIFS(Январь!C3:C149, "КЛ", Январь!D3:D149, "10", Январь!#REF!, "Западные ЭС")+COUNTIFS(Январь!C3:C149, "КЛ", Январь!D3:D149, "35", Январь!#REF!, "Западные ЭС")+COUNTIFS(Январь!C3:C149, "КЛ", Январь!D3:D149, "110", Январь!#REF!, "Западные ЭС")</f>
        <v>#REF!</v>
      </c>
      <c r="F26" s="209" t="e">
        <f>SUMIFS(Январь!G3:G149, Январь!C3:C149, "КЛ", Январь!D3:D149, "6", Январь!#REF!, "Западные ЭС")+SUMIFS(Январь!G3:G149, Январь!C3:C149, "КЛ", Январь!D3:D149, "10", Январь!#REF!, "Западные ЭС")+SUMIFS(Январь!G3:G149, Январь!C3:C149, "КЛ", Январь!D3:D149, "35", Январь!#REF!, "Западные ЭС")+SUMIFS(Январь!G3:G149, Январь!C3:C149, "КЛ", Январь!D3:D149, "110", Январь!#REF!, "Западные ЭС")</f>
        <v>#REF!</v>
      </c>
      <c r="G26" s="210" t="e">
        <f t="shared" si="6"/>
        <v>#REF!</v>
      </c>
      <c r="H26" s="208" t="e">
        <f>COUNTIFS(Февраль!C3:C133, "КЛ", Февраль!D3:D133, "6", Февраль!#REF!, "Западные ЭС")+COUNTIFS(Февраль!C3:C133, "КЛ", Февраль!D3:D133, "10", Февраль!#REF!, "Западные ЭС")+COUNTIFS(Февраль!C3:C133, "КЛ", Февраль!D3:D133, "35", Февраль!#REF!, "Западные ЭС")+COUNTIFS(Февраль!C3:C133, "КЛ", Февраль!D3:D133, "110", Февраль!#REF!, "Западные ЭС")</f>
        <v>#REF!</v>
      </c>
      <c r="I26" s="209" t="e">
        <f>SUMIFS(Февраль!G3:G133, Февраль!C3:C133, "КЛ", Февраль!D3:D133, "6", Февраль!#REF!, "Западные ЭС")+SUMIFS(Февраль!G3:G133, Февраль!C3:C133, "КЛ", Февраль!D3:D133, "10", Февраль!#REF!, "Западные ЭС")+SUMIFS(Февраль!G3:G133, Февраль!C3:C133, "КЛ", Февраль!D3:D133, "35", Февраль!#REF!, "Западные ЭС")+SUMIFS(Февраль!G3:G133, Февраль!C3:C133, "КЛ", Февраль!D3:D133, "110", Февраль!#REF!, "Западные ЭС")</f>
        <v>#REF!</v>
      </c>
      <c r="J26" s="210" t="e">
        <f t="shared" si="7"/>
        <v>#REF!</v>
      </c>
      <c r="K26" s="212" t="e">
        <f>COUNTIFS(Март!C6:C155, "КЛ", Март!D6:D155, "6", Март!#REF!, "Западные ЭС")+COUNTIFS(Март!C6:C155, "КЛ", Март!D6:D155, "10", Март!#REF!, "Западные ЭС")+COUNTIFS(Март!C6:C155, "КЛ", Март!D6:D155, "35", Март!#REF!, "Западные ЭС")+COUNTIFS(Март!C6:C155, "КЛ", Март!D6:D155, "110", Март!#REF!, "Западные ЭС")</f>
        <v>#REF!</v>
      </c>
      <c r="L26" s="209" t="e">
        <f>SUMIFS(Март!G6:G155, Март!C6:C155, "КЛ", Март!D6:D155, "6", Март!#REF!, "Западные ЭС")+SUMIFS(Март!G6:G155, Март!C6:C155, "КЛ", Март!D6:D155, "10", Март!#REF!, "Западные ЭС")+SUMIFS(Март!G6:G155, Март!C6:C155, "КЛ", Март!D6:D155, "35", Март!#REF!, "Западные ЭС")+SUMIFS(Март!G6:G155, Март!C6:C155, "КЛ", Март!D6:D155, "110", Март!#REF!, "Западные ЭС")</f>
        <v>#REF!</v>
      </c>
      <c r="M26" s="211" t="e">
        <f>L26/K26</f>
        <v>#REF!</v>
      </c>
      <c r="N26" s="213" t="e">
        <f t="shared" si="11"/>
        <v>#REF!</v>
      </c>
      <c r="O26" s="209" t="e">
        <f t="shared" si="11"/>
        <v>#REF!</v>
      </c>
      <c r="P26" s="214" t="e">
        <f t="shared" si="9"/>
        <v>#REF!</v>
      </c>
    </row>
    <row r="27" spans="2:16" x14ac:dyDescent="0.25">
      <c r="C27" s="362"/>
      <c r="D27" s="207" t="s">
        <v>65</v>
      </c>
      <c r="E27" s="208" t="e">
        <f>COUNTIFS(Январь!C3:C149, "ТП", Январь!D3:D149, "6", Январь!#REF!, "Западные ЭС")+COUNTIFS(Январь!C3:C149, "ТП", Январь!D3:D149, "10", Январь!#REF!, "Западные ЭС")+COUNTIFS(Январь!C3:C149, "ПС", Январь!D3:D149, "6", Январь!#REF!, "Западные ЭС")+COUNTIFS(Январь!C3:C149, "ПС", Январь!D3:D149, "10", Январь!#REF!, "Западные ЭС")+COUNTIFS(Январь!C3:C149, "РП", Январь!D3:D149, "6", Январь!#REF!, "Западные ЭС")+COUNTIFS(Январь!C3:C149, "РП", Январь!D3:D149, "10", Январь!#REF!, "Западные ЭС")</f>
        <v>#REF!</v>
      </c>
      <c r="F27" s="209" t="e">
        <f>SUMIFS(Январь!G3:G149, Январь!C3:C149, "ТП", Январь!D3:D149, "6", Январь!#REF!, "Западные ЭС")+SUMIFS(Январь!G3:G149, Январь!C3:C149, "ТП", Январь!D3:D149, "10", Январь!#REF!, "Западные ЭС")+SUMIFS(Январь!G3:G149, Январь!C3:C149, "ПС", Январь!D3:D149, "6", Январь!#REF!, "Западные ЭС")+SUMIFS(Январь!G3:G149, Январь!C3:C149, "ПС", Январь!D3:D149, "10", Январь!#REF!, "Западные ЭС")+SUMIFS(Январь!G3:G149, Январь!C3:C149, "РП", Январь!D3:D149, "6", Январь!#REF!, "Западные ЭС")+SUMIFS(Январь!G3:G149, Январь!C3:C149, "РП", Январь!D3:D149, "10", Январь!#REF!, "Западные ЭС")</f>
        <v>#REF!</v>
      </c>
      <c r="G27" s="210">
        <v>0</v>
      </c>
      <c r="H27" s="208" t="e">
        <f>COUNTIFS(Февраль!C3:C133, "ТП", Февраль!D3:D133, "6", Февраль!#REF!, "Западные ЭС")+COUNTIFS(Февраль!C3:C133, "ТП", Февраль!D3:D133, "10", Февраль!#REF!, "Западные ЭС")+COUNTIFS(Февраль!C3:C133, "ПС", Февраль!D3:D133, "6", Февраль!#REF!, "Западные ЭС")+COUNTIFS(Февраль!C3:C133, "ПС", Февраль!D3:D133, "10", Февраль!#REF!, "Западные ЭС")+COUNTIFS(Февраль!C3:C133, "РП", Февраль!D3:D133, "6", Февраль!#REF!, "Западные ЭС")+COUNTIFS(Февраль!C3:C133, "РП", Февраль!D3:D133, "10", Февраль!#REF!, "Западные ЭС")</f>
        <v>#REF!</v>
      </c>
      <c r="I27" s="209" t="e">
        <f>SUMIFS(Февраль!G3:G133, Февраль!C3:C133, "ТП", Февраль!D3:D133, "6", Февраль!#REF!, "Западные ЭС")+SUMIFS(Февраль!G3:G133, Февраль!C3:C133, "ТП", Февраль!D3:D133, "10", Февраль!#REF!, "Западные ЭС")+SUMIFS(Февраль!G3:G133, Февраль!C3:C133, "ПС", Февраль!D3:D133, "6", Февраль!#REF!, "Западные ЭС")+SUMIFS(Февраль!G3:G133, Февраль!C3:C133, "ПС", Февраль!D3:D133, "10", Февраль!#REF!, "Западные ЭС")+SUMIFS(Февраль!G3:G133, Февраль!C3:C133, "РП", Февраль!D3:D133, "6", Февраль!#REF!, "Западные ЭС")+SUMIFS(Февраль!G3:G133, Февраль!C3:C133, "РП", Февраль!D3:D133, "10", Февраль!#REF!, "Западные ЭС")</f>
        <v>#REF!</v>
      </c>
      <c r="J27" s="210">
        <v>0</v>
      </c>
      <c r="K27" s="212" t="e">
        <f>COUNTIFS(Март!C6:C155, "ТП", Март!D6:D155, "6", Март!#REF!, "Западные ЭС")+COUNTIFS(Март!C6:C155, "ТП", Март!D6:D155, "10", Март!#REF!, "Западные ЭС")+COUNTIFS(Март!C6:C155, "ПС", Март!D6:D155, "6", Март!#REF!, "Западные ЭС")+COUNTIFS(Март!C6:C155, "ПС", Март!D6:D155, "10", Март!#REF!, "Западные ЭС")</f>
        <v>#REF!</v>
      </c>
      <c r="L27" s="209" t="e">
        <f>SUMIFS(Март!G6:G155, Март!C6:C155, "ТП", Март!D6:D155, "6", Март!#REF!, "Западные ЭС")+SUMIFS(Март!G6:G155, Март!C6:C155, "ТП", Март!D6:D155, "10", Март!#REF!, "Западные ЭС")+SUMIFS(Март!G6:G155, Март!C6:C155, "ПС", Март!D6:D155, "6", Март!#REF!, "Западные ЭС")+SUMIFS(Март!G6:G155, Март!C6:C155, "ПС", Март!D6:D155, "10", Март!#REF!, "Западные ЭС")</f>
        <v>#REF!</v>
      </c>
      <c r="M27" s="211">
        <v>0</v>
      </c>
      <c r="N27" s="213" t="e">
        <f t="shared" si="11"/>
        <v>#REF!</v>
      </c>
      <c r="O27" s="209" t="e">
        <f t="shared" si="11"/>
        <v>#REF!</v>
      </c>
      <c r="P27" s="214">
        <v>0</v>
      </c>
    </row>
    <row r="28" spans="2:16" ht="15.75" customHeight="1" x14ac:dyDescent="0.25">
      <c r="C28" s="362"/>
      <c r="D28" s="207" t="s">
        <v>66</v>
      </c>
      <c r="E28" s="208">
        <v>0</v>
      </c>
      <c r="F28" s="209">
        <v>0</v>
      </c>
      <c r="G28" s="210">
        <v>0</v>
      </c>
      <c r="H28" s="208">
        <v>0</v>
      </c>
      <c r="I28" s="209">
        <v>0</v>
      </c>
      <c r="J28" s="211">
        <v>0</v>
      </c>
      <c r="K28" s="212">
        <v>0</v>
      </c>
      <c r="L28" s="209">
        <v>0</v>
      </c>
      <c r="M28" s="211">
        <v>0</v>
      </c>
      <c r="N28" s="213">
        <v>0</v>
      </c>
      <c r="O28" s="209">
        <v>0</v>
      </c>
      <c r="P28" s="214">
        <v>0</v>
      </c>
    </row>
    <row r="29" spans="2:16" ht="18.75" x14ac:dyDescent="0.3">
      <c r="B29" s="215"/>
      <c r="C29" s="362"/>
      <c r="D29" s="207" t="s">
        <v>67</v>
      </c>
      <c r="E29" s="208">
        <v>0</v>
      </c>
      <c r="F29" s="209">
        <v>0</v>
      </c>
      <c r="G29" s="210">
        <v>0</v>
      </c>
      <c r="H29" s="208">
        <v>0</v>
      </c>
      <c r="I29" s="209">
        <v>0</v>
      </c>
      <c r="J29" s="211">
        <v>0</v>
      </c>
      <c r="K29" s="212">
        <v>0</v>
      </c>
      <c r="L29" s="209">
        <v>0</v>
      </c>
      <c r="M29" s="211">
        <v>0</v>
      </c>
      <c r="N29" s="213">
        <v>0</v>
      </c>
      <c r="O29" s="209">
        <v>0</v>
      </c>
      <c r="P29" s="214">
        <v>0</v>
      </c>
    </row>
    <row r="30" spans="2:16" ht="15.75" thickBot="1" x14ac:dyDescent="0.3">
      <c r="C30" s="363"/>
      <c r="D30" s="216" t="s">
        <v>68</v>
      </c>
      <c r="E30" s="217">
        <v>0</v>
      </c>
      <c r="F30" s="218">
        <v>0</v>
      </c>
      <c r="G30" s="219">
        <v>0</v>
      </c>
      <c r="H30" s="217">
        <v>0</v>
      </c>
      <c r="I30" s="218">
        <v>0</v>
      </c>
      <c r="J30" s="220">
        <v>0</v>
      </c>
      <c r="K30" s="221">
        <v>0</v>
      </c>
      <c r="L30" s="218">
        <v>0</v>
      </c>
      <c r="M30" s="220">
        <v>0</v>
      </c>
      <c r="N30" s="243">
        <v>0</v>
      </c>
      <c r="O30" s="242">
        <v>0</v>
      </c>
      <c r="P30" s="244">
        <v>0</v>
      </c>
    </row>
    <row r="31" spans="2:16" ht="15" customHeight="1" x14ac:dyDescent="0.25">
      <c r="C31" s="364" t="s">
        <v>47</v>
      </c>
      <c r="D31" s="222" t="s">
        <v>59</v>
      </c>
      <c r="E31" s="196" t="e">
        <f>E32+E36</f>
        <v>#REF!</v>
      </c>
      <c r="F31" s="197" t="e">
        <f>F32+F36</f>
        <v>#REF!</v>
      </c>
      <c r="G31" s="198" t="e">
        <f>F31/E31</f>
        <v>#REF!</v>
      </c>
      <c r="H31" s="196" t="e">
        <f>H32+H36</f>
        <v>#REF!</v>
      </c>
      <c r="I31" s="197" t="e">
        <f>I32+I36</f>
        <v>#REF!</v>
      </c>
      <c r="J31" s="198" t="e">
        <f t="shared" ref="J31:J38" si="12">I31/H31</f>
        <v>#REF!</v>
      </c>
      <c r="K31" s="196" t="e">
        <f>K32+K36</f>
        <v>#REF!</v>
      </c>
      <c r="L31" s="197" t="e">
        <f>L32+L36</f>
        <v>#REF!</v>
      </c>
      <c r="M31" s="199" t="e">
        <f t="shared" ref="M31:M39" si="13">L31/K31</f>
        <v>#REF!</v>
      </c>
      <c r="N31" s="224" t="e">
        <f>N32+N36</f>
        <v>#REF!</v>
      </c>
      <c r="O31" s="223" t="e">
        <f>O32+O36</f>
        <v>#REF!</v>
      </c>
      <c r="P31" s="225" t="e">
        <f t="shared" ref="P31:P39" si="14">O31/N31</f>
        <v>#REF!</v>
      </c>
    </row>
    <row r="32" spans="2:16" ht="15" customHeight="1" x14ac:dyDescent="0.25">
      <c r="C32" s="362"/>
      <c r="D32" s="200" t="s">
        <v>60</v>
      </c>
      <c r="E32" s="201" t="e">
        <f>E33+E34+E35</f>
        <v>#REF!</v>
      </c>
      <c r="F32" s="202" t="e">
        <f>F33+F34+F35</f>
        <v>#REF!</v>
      </c>
      <c r="G32" s="203">
        <v>0</v>
      </c>
      <c r="H32" s="201" t="e">
        <f>H33+H34+H35</f>
        <v>#REF!</v>
      </c>
      <c r="I32" s="202" t="e">
        <f>I33+I34+I35</f>
        <v>#REF!</v>
      </c>
      <c r="J32" s="203" t="e">
        <f>I32/H32</f>
        <v>#REF!</v>
      </c>
      <c r="K32" s="201" t="e">
        <f>K33+K34+K35</f>
        <v>#REF!</v>
      </c>
      <c r="L32" s="202" t="e">
        <f>L33+L34+L35</f>
        <v>#REF!</v>
      </c>
      <c r="M32" s="204" t="e">
        <f>L32/K32</f>
        <v>#REF!</v>
      </c>
      <c r="N32" s="205" t="e">
        <f>N33+N34+N35</f>
        <v>#REF!</v>
      </c>
      <c r="O32" s="202" t="e">
        <f>O33+O34+O35</f>
        <v>#REF!</v>
      </c>
      <c r="P32" s="206" t="e">
        <f t="shared" si="14"/>
        <v>#REF!</v>
      </c>
    </row>
    <row r="33" spans="2:16" x14ac:dyDescent="0.25">
      <c r="C33" s="362"/>
      <c r="D33" s="207" t="s">
        <v>61</v>
      </c>
      <c r="E33" s="208" t="e">
        <f>COUNTIFS(Январь!C3:C149, "ВЛ", Январь!D3:D149, "0,4", Январь!#REF!, "Пригородные ЭС")</f>
        <v>#REF!</v>
      </c>
      <c r="F33" s="209" t="e">
        <f>SUMIFS(Январь!G3:G149, Январь!C3:C149, "ВЛ", Январь!D3:D149, "0,4", Январь!#REF!, "Пригородные ЭС")</f>
        <v>#REF!</v>
      </c>
      <c r="G33" s="210">
        <v>0</v>
      </c>
      <c r="H33" s="208" t="e">
        <f>COUNTIFS(Февраль!C3:C133, "ВЛ", Февраль!D3:D133, "0,4", Февраль!#REF!, "Пригородные ЭС")</f>
        <v>#REF!</v>
      </c>
      <c r="I33" s="209" t="e">
        <f>SUMIFS(Февраль!G3:G133, Февраль!C3:C133, "ВЛ", Февраль!D3:D133, "0,4", Февраль!#REF!, "Пригородные ЭС")</f>
        <v>#REF!</v>
      </c>
      <c r="J33" s="210">
        <v>0</v>
      </c>
      <c r="K33" s="212" t="e">
        <f>COUNTIFS(Март!C6:C155, "ВЛ", Март!D6:D155, "0,4", Март!#REF!, "Пригородные ЭС")</f>
        <v>#REF!</v>
      </c>
      <c r="L33" s="209" t="e">
        <f>SUMIFS(Март!G6:G155, Март!C6:C155, "ВЛ", Март!D6:D155, "0,4", Март!#REF!, "Пригородные ЭС")</f>
        <v>#REF!</v>
      </c>
      <c r="M33" s="211">
        <v>0</v>
      </c>
      <c r="N33" s="213" t="e">
        <f t="shared" ref="N33:O35" si="15">E33+H33+K33</f>
        <v>#REF!</v>
      </c>
      <c r="O33" s="209" t="e">
        <f t="shared" si="15"/>
        <v>#REF!</v>
      </c>
      <c r="P33" s="214">
        <v>0</v>
      </c>
    </row>
    <row r="34" spans="2:16" x14ac:dyDescent="0.25">
      <c r="C34" s="362"/>
      <c r="D34" s="207" t="s">
        <v>62</v>
      </c>
      <c r="E34" s="208" t="e">
        <f>COUNTIFS(Январь!C3:C149, "КЛ", Январь!D3:D149, "0,4", Январь!#REF!, "Пригородные ЭС")</f>
        <v>#REF!</v>
      </c>
      <c r="F34" s="209" t="e">
        <f>SUMIFS(Январь!G3:G149, Январь!C3:C149, "КЛ", Январь!D3:D149, "0,4", Январь!#REF!, "Пригородные ЭС")</f>
        <v>#REF!</v>
      </c>
      <c r="G34" s="210">
        <v>0</v>
      </c>
      <c r="H34" s="208" t="e">
        <f>COUNTIFS(Февраль!C3:C133, "КЛ", Февраль!D3:D133, "0,4", Февраль!#REF!, "Пригородные ЭС")</f>
        <v>#REF!</v>
      </c>
      <c r="I34" s="209" t="e">
        <f>SUMIFS(Февраль!G3:G133, Февраль!C3:C133, "КЛ", Февраль!D3:D133, "0,4", Февраль!#REF!, "Пригородные ЭС")</f>
        <v>#REF!</v>
      </c>
      <c r="J34" s="210" t="e">
        <f>I34/H34</f>
        <v>#REF!</v>
      </c>
      <c r="K34" s="212" t="e">
        <f>COUNTIFS(Март!C6:C155, "КЛ", Март!D6:D155, "0,4", Март!#REF!, "Пригородные ЭС")</f>
        <v>#REF!</v>
      </c>
      <c r="L34" s="209" t="e">
        <f>SUMIFS(Март!G6:G155, Март!C6:C155, "КЛ", Март!D6:D155, "0,4", Март!#REF!, "Пригородные ЭС")</f>
        <v>#REF!</v>
      </c>
      <c r="M34" s="211" t="e">
        <f>L34/K34</f>
        <v>#REF!</v>
      </c>
      <c r="N34" s="213" t="e">
        <f t="shared" si="15"/>
        <v>#REF!</v>
      </c>
      <c r="O34" s="209" t="e">
        <f t="shared" si="15"/>
        <v>#REF!</v>
      </c>
      <c r="P34" s="214" t="e">
        <f>O34/N34</f>
        <v>#REF!</v>
      </c>
    </row>
    <row r="35" spans="2:16" x14ac:dyDescent="0.25">
      <c r="C35" s="362"/>
      <c r="D35" s="207" t="s">
        <v>63</v>
      </c>
      <c r="E35" s="208" t="e">
        <f>COUNTIFS(Январь!C3:C149, "ТП", Январь!D3:D149, "0,4", Январь!#REF!, "Пригородные ЭС")</f>
        <v>#REF!</v>
      </c>
      <c r="F35" s="209" t="e">
        <f>SUMIFS(Январь!G3:G149, Январь!C3:C149, "ТП", Январь!D3:D149, "0,4", Январь!#REF!, "Пригородные ЭС")</f>
        <v>#REF!</v>
      </c>
      <c r="G35" s="210">
        <v>0</v>
      </c>
      <c r="H35" s="208" t="e">
        <f>COUNTIFS(Февраль!C3:C133, "ТП", Февраль!D3:D133, "0,4", Февраль!#REF!, "Пригородные ЭС")</f>
        <v>#REF!</v>
      </c>
      <c r="I35" s="209" t="e">
        <f>SUMIFS(Февраль!G3:G133, Февраль!C3:C133, "ТП", Февраль!D3:D133, "0,4", Февраль!#REF!, "Пригородные ЭС")</f>
        <v>#REF!</v>
      </c>
      <c r="J35" s="210" t="e">
        <f>I35/H35</f>
        <v>#REF!</v>
      </c>
      <c r="K35" s="212" t="e">
        <f>COUNTIFS(Март!C6:C155, "ТП", Март!D6:D155, "0,4", Март!#REF!, "Пригородные ЭС")</f>
        <v>#REF!</v>
      </c>
      <c r="L35" s="209" t="e">
        <f>SUMIFS(Март!G6:G155, Март!C6:C155, "ТП", Март!D6:D155, "0,4", Март!#REF!, "Пригородные ЭС")</f>
        <v>#REF!</v>
      </c>
      <c r="M35" s="211" t="e">
        <f>L35/K35</f>
        <v>#REF!</v>
      </c>
      <c r="N35" s="213" t="e">
        <f t="shared" si="15"/>
        <v>#REF!</v>
      </c>
      <c r="O35" s="209" t="e">
        <f t="shared" si="15"/>
        <v>#REF!</v>
      </c>
      <c r="P35" s="214" t="e">
        <f t="shared" si="14"/>
        <v>#REF!</v>
      </c>
    </row>
    <row r="36" spans="2:16" x14ac:dyDescent="0.25">
      <c r="C36" s="362"/>
      <c r="D36" s="200" t="s">
        <v>64</v>
      </c>
      <c r="E36" s="201" t="e">
        <f>E37+E38+E39+E40+E41+E42</f>
        <v>#REF!</v>
      </c>
      <c r="F36" s="202" t="e">
        <f>F37+F38+F39+F40+F41+F42</f>
        <v>#REF!</v>
      </c>
      <c r="G36" s="203" t="e">
        <f t="shared" ref="G36:G39" si="16">F36/E36</f>
        <v>#REF!</v>
      </c>
      <c r="H36" s="201" t="e">
        <f>H37+H38+H39+H40+H41+H42</f>
        <v>#REF!</v>
      </c>
      <c r="I36" s="202" t="e">
        <f>I37+I38+I39+I40+I41+I42</f>
        <v>#REF!</v>
      </c>
      <c r="J36" s="203" t="e">
        <f t="shared" si="12"/>
        <v>#REF!</v>
      </c>
      <c r="K36" s="201" t="e">
        <f>K37+K38+K39+K40+K41+K42</f>
        <v>#REF!</v>
      </c>
      <c r="L36" s="202" t="e">
        <f>L37+L38+L39+L40+L41+L42</f>
        <v>#REF!</v>
      </c>
      <c r="M36" s="204" t="e">
        <f t="shared" si="13"/>
        <v>#REF!</v>
      </c>
      <c r="N36" s="205" t="e">
        <f>N37+N38+N39+N40+N41+N42</f>
        <v>#REF!</v>
      </c>
      <c r="O36" s="202" t="e">
        <f>O37+O38+O39+O40+O41+O42</f>
        <v>#REF!</v>
      </c>
      <c r="P36" s="206" t="e">
        <f t="shared" si="14"/>
        <v>#REF!</v>
      </c>
    </row>
    <row r="37" spans="2:16" ht="15.75" customHeight="1" x14ac:dyDescent="0.25">
      <c r="C37" s="362"/>
      <c r="D37" s="207" t="s">
        <v>61</v>
      </c>
      <c r="E37" s="208" t="e">
        <f>COUNTIFS(Январь!C3:C149, "ВЛ", Январь!D3:D149, "6", Январь!#REF!, "Пригородные ЭС")+COUNTIFS(Январь!C3:C149, "ВЛ", Январь!D3:D149, "10", Январь!#REF!, "Пригородные ЭС")+COUNTIFS(Январь!C3:C149, "ВЛ", Январь!D3:D149, "35", Январь!#REF!, "Пригородные ЭС")+COUNTIFS(Январь!C3:C149, "ВЛ", Январь!D3:D149, "110", Январь!#REF!, "Пригородные ЭС")</f>
        <v>#REF!</v>
      </c>
      <c r="F37" s="209" t="e">
        <f>SUMIFS(Январь!G3:G149, Январь!C3:C149, "ВЛ", Январь!D3:D149, "6", Январь!#REF!, "Пригородные ЭС")+SUMIFS(Январь!G3:G149, Январь!C3:C149, "ВЛ", Январь!D3:D149, "10", Январь!#REF!, "Пригородные ЭС")+SUMIFS(Январь!G3:G149, Январь!C3:C149, "ВЛ", Январь!D3:D149, "35", Январь!#REF!, "Пригородные ЭС")+SUMIFS(Январь!G3:G149, Январь!C3:C149, "ВЛ", Январь!D3:D149, "110", Январь!#REF!, "Пригородные ЭС")</f>
        <v>#REF!</v>
      </c>
      <c r="G37" s="210" t="e">
        <f t="shared" si="16"/>
        <v>#REF!</v>
      </c>
      <c r="H37" s="208" t="e">
        <f>COUNTIFS(Февраль!C3:C133, "ВЛ", Февраль!D3:D133, "6", Февраль!#REF!, "Пригородные ЭС")+COUNTIFS(Февраль!C3:C133, "ВЛ", Февраль!D3:D133, "10", Февраль!#REF!, "Пригородные ЭС")+COUNTIFS(Февраль!C3:C133, "ВЛ", Февраль!D3:D133, "35", Февраль!#REF!, "Пригородные ЭС")+COUNTIFS(Февраль!C3:C133, "ВЛ", Февраль!D3:D133, "110", Февраль!#REF!, "Пригородные ЭС")</f>
        <v>#REF!</v>
      </c>
      <c r="I37" s="209" t="e">
        <f>SUMIFS(Февраль!G3:G133, Февраль!C3:C133, "ВЛ", Февраль!D3:D133, "6", Февраль!#REF!, "Пригородные ЭС")+SUMIFS(Февраль!G3:G133, Февраль!C3:C133, "ВЛ", Февраль!D3:D133, "10", Февраль!#REF!, "Пригородные ЭС")+SUMIFS(Февраль!G3:G133, Февраль!C3:C133, "ВЛ", Февраль!D3:D133, "35", Февраль!#REF!, "Пригородные ЭС")+SUMIFS(Февраль!G3:G133, Февраль!C3:C133, "ВЛ", Февраль!D3:D133, "110", Февраль!#REF!, "Пригородные ЭС")</f>
        <v>#REF!</v>
      </c>
      <c r="J37" s="210" t="e">
        <f t="shared" si="12"/>
        <v>#REF!</v>
      </c>
      <c r="K37" s="212" t="e">
        <f>COUNTIFS(Март!C6:C155, "ВЛ", Март!D6:D155, "6", Март!#REF!, "Пригородные ЭС")+COUNTIFS(Март!C6:C155, "ВЛ", Март!D6:D155, "10", Март!#REF!, "Пригородные ЭС")+COUNTIFS(Март!C6:C155, "ВЛ", Март!D6:D155, "35", Март!#REF!, "Пригородные ЭС")+COUNTIFS(Март!C6:C155, "ВЛ", Март!D6:D155, "110", Март!#REF!, "Пригородные ЭС")</f>
        <v>#REF!</v>
      </c>
      <c r="L37" s="209" t="e">
        <f>SUMIFS(Март!G6:G155, Март!C6:C155, "ВЛ", Март!D6:D155, "6", Март!#REF!, "Пригородные ЭС")+SUMIFS(Март!G6:G155, Март!C6:C155, "ВЛ", Март!D6:D155, "10", Март!#REF!, "Пригородные ЭС")+SUMIFS(Март!G6:G155, Март!C6:C155, "ВЛ", Март!D6:D155, "35", Март!#REF!, "Пригородные ЭС")+SUMIFS(Март!G6:G155, Март!C6:C155, "ВЛ", Март!D6:D155, "110", Март!#REF!, "Пригородные ЭС")</f>
        <v>#REF!</v>
      </c>
      <c r="M37" s="211" t="e">
        <f t="shared" si="13"/>
        <v>#REF!</v>
      </c>
      <c r="N37" s="213" t="e">
        <f t="shared" ref="N37:O39" si="17">E37+H37+K37</f>
        <v>#REF!</v>
      </c>
      <c r="O37" s="209" t="e">
        <f t="shared" si="17"/>
        <v>#REF!</v>
      </c>
      <c r="P37" s="214" t="e">
        <f t="shared" si="14"/>
        <v>#REF!</v>
      </c>
    </row>
    <row r="38" spans="2:16" x14ac:dyDescent="0.25">
      <c r="C38" s="362"/>
      <c r="D38" s="207" t="s">
        <v>62</v>
      </c>
      <c r="E38" s="208" t="e">
        <f>COUNTIFS(Январь!C3:C149, "КЛ", Январь!D3:D149, "6", Январь!#REF!, "Пригородные ЭС")+COUNTIFS(Январь!C3:C149, "КЛ", Январь!D3:D149, "10", Январь!#REF!, "Пригородные ЭС")+COUNTIFS(Январь!C3:C149, "КЛ", Январь!D3:D149, "35", Январь!#REF!, "Пригородные ЭС")+COUNTIFS(Январь!C3:C149, "КЛ", Январь!D3:D149, "110", Январь!#REF!, "Пригородные ЭС")</f>
        <v>#REF!</v>
      </c>
      <c r="F38" s="209" t="e">
        <f>SUMIFS(Январь!G3:G149, Январь!C3:C149, "КЛ", Январь!D3:D149, "6", Январь!#REF!, "Пригородные ЭС")+SUMIFS(Январь!G3:G149, Январь!C3:C149, "КЛ", Январь!D3:D149, "10", Январь!#REF!, "Пригородные ЭС")+SUMIFS(Январь!G3:G149, Январь!C3:C149, "КЛ", Январь!D3:D149, "35", Январь!#REF!, "Пригородные ЭС")+SUMIFS(Январь!G3:G149, Январь!C3:C149, "КЛ", Январь!D3:D149, "110", Январь!#REF!, "Пригородные ЭС")</f>
        <v>#REF!</v>
      </c>
      <c r="G38" s="210" t="e">
        <f t="shared" si="16"/>
        <v>#REF!</v>
      </c>
      <c r="H38" s="208" t="e">
        <f>COUNTIFS(Февраль!C3:C133, "КЛ", Февраль!D3:D133, "6", Февраль!#REF!, "Пригородные ЭС")+COUNTIFS(Февраль!C3:C133, "КЛ", Февраль!D3:D133, "10", Февраль!#REF!, "Пригородные ЭС")+COUNTIFS(Февраль!C3:C133, "КЛ", Февраль!D3:D133, "35", Февраль!#REF!, "Пригородные ЭС")+COUNTIFS(Февраль!C3:C133, "КЛ", Февраль!D3:D133, "110", Февраль!#REF!, "Пригородные ЭС")</f>
        <v>#REF!</v>
      </c>
      <c r="I38" s="209" t="e">
        <f>SUMIFS(Февраль!G3:G133, Февраль!C3:C133, "КЛ", Февраль!D3:D133, "6", Февраль!#REF!, "Пригородные ЭС")+SUMIFS(Февраль!G3:G133, Февраль!C3:C133, "КЛ", Февраль!D3:D133, "10", Февраль!#REF!, "Пригородные ЭС")+SUMIFS(Февраль!G3:G133, Февраль!C3:C133, "КЛ", Февраль!D3:D133, "35", Февраль!#REF!, "Пригородные ЭС")+SUMIFS(Февраль!G3:G133, Февраль!C3:C133, "КЛ", Февраль!D3:D133, "110", Февраль!#REF!, "Пригородные ЭС")</f>
        <v>#REF!</v>
      </c>
      <c r="J38" s="210" t="e">
        <f t="shared" si="12"/>
        <v>#REF!</v>
      </c>
      <c r="K38" s="212" t="e">
        <f>COUNTIFS(Март!C6:C155, "КЛ", Март!D6:D155, "6", Март!#REF!, "Пригородные ЭС")+COUNTIFS(Март!C6:C155, "КЛ", Март!D6:D155, "10", Март!#REF!, "Пригородные ЭС")+COUNTIFS(Март!C6:C155, "КЛ", Март!D6:D155, "35", Март!#REF!, "Пригородные ЭС")+COUNTIFS(Март!C6:C155, "КЛ", Март!D6:D155, "110", Март!#REF!, "Пригородные ЭС")</f>
        <v>#REF!</v>
      </c>
      <c r="L38" s="209" t="e">
        <f>SUMIFS(Март!G6:G155, Март!C6:C155, "КЛ", Март!D6:D155, "6", Март!#REF!, "Пригородные ЭС")+SUMIFS(Март!G6:G155, Март!C6:C155, "КЛ", Март!D6:D155, "10", Март!#REF!, "Пригородные ЭС")+SUMIFS(Март!G6:G155, Март!C6:C155, "КЛ", Март!D6:D155, "35", Март!#REF!, "Пригородные ЭС")+SUMIFS(Март!G6:G155, Март!C6:C155, "КЛ", Март!D6:D155, "110", Март!#REF!, "Пригородные ЭС")</f>
        <v>#REF!</v>
      </c>
      <c r="M38" s="211" t="e">
        <f t="shared" si="13"/>
        <v>#REF!</v>
      </c>
      <c r="N38" s="213" t="e">
        <f t="shared" si="17"/>
        <v>#REF!</v>
      </c>
      <c r="O38" s="209" t="e">
        <f t="shared" si="17"/>
        <v>#REF!</v>
      </c>
      <c r="P38" s="214" t="e">
        <f t="shared" si="14"/>
        <v>#REF!</v>
      </c>
    </row>
    <row r="39" spans="2:16" x14ac:dyDescent="0.25">
      <c r="C39" s="362"/>
      <c r="D39" s="207" t="s">
        <v>65</v>
      </c>
      <c r="E39" s="208" t="e">
        <f>COUNTIFS(Январь!C3:C149, "ТП", Январь!D3:D149, "6", Январь!#REF!, "Пригородные ЭС")+COUNTIFS(Январь!C3:C149, "ТП", Январь!D3:D149, "10", Январь!#REF!, "Пригородные ЭС")+COUNTIFS(Январь!C3:C149, "ПС", Январь!D3:D149, "6", Январь!#REF!, "Пригородные ЭС")+COUNTIFS(Январь!C3:C149, "ПС", Январь!D3:D149, "10", Январь!#REF!, "Пригородные ЭС")+COUNTIFS(Январь!C3:C149, "РП", Январь!D3:D149, "6", Январь!#REF!, "Пригородные ЭС")+COUNTIFS(Январь!C3:C149, "РП", Январь!D3:D149, "10", Январь!#REF!, "Пригородные ЭС")</f>
        <v>#REF!</v>
      </c>
      <c r="F39" s="209" t="e">
        <f>SUMIFS(Январь!G3:G149, Январь!C3:C149, "ТП", Январь!D3:D149, "6", Январь!#REF!, "Пригородные ЭС")+SUMIFS(Январь!G3:G149, Январь!C3:C149, "ТП", Январь!D3:D149, "10", Январь!#REF!, "Пригородные ЭС")+SUMIFS(Январь!G3:G149, Январь!C3:C149, "ПС", Январь!D3:D149, "6", Январь!#REF!, "Пригородные ЭС")+SUMIFS(Январь!G3:G149, Январь!C3:C149, "ПС", Январь!D3:D149, "10", Январь!#REF!, "Пригородные ЭС")+SUMIFS(Январь!G3:G149, Январь!C3:C149, "РП", Январь!D3:D149, "6", Январь!#REF!, "Пригородные ЭС")+SUMIFS(Январь!G3:G149, Январь!C3:C149, "РП", Январь!D3:D149, "10", Январь!#REF!, "Пригородные ЭС")</f>
        <v>#REF!</v>
      </c>
      <c r="G39" s="210" t="e">
        <f t="shared" si="16"/>
        <v>#REF!</v>
      </c>
      <c r="H39" s="208" t="e">
        <f>COUNTIFS(Февраль!C3:C133, "ТП", Февраль!D3:D133, "6", Февраль!#REF!, "Пригородные ЭС")+COUNTIFS(Февраль!C3:C133, "ТП", Февраль!D3:D133, "10", Февраль!#REF!, "Пригородные ЭС")+COUNTIFS(Февраль!C3:C133, "ПС", Февраль!D3:D133, "6", Февраль!#REF!, "Пригородные ЭС")+COUNTIFS(Февраль!C3:C133, "ПС", Февраль!D3:D133, "10", Февраль!#REF!, "Пригородные ЭС")</f>
        <v>#REF!</v>
      </c>
      <c r="I39" s="209" t="e">
        <f>SUMIFS(Февраль!G3:G133, Февраль!C3:C133, "ТП", Февраль!D3:D133, "6", Февраль!#REF!, "Пригородные ЭС")+SUMIFS(Февраль!G3:G133, Февраль!C3:C133, "ТП", Февраль!D3:D133, "10", Февраль!#REF!, "Пригородные ЭС")+SUMIFS(Февраль!G3:G133, Февраль!C3:C133, "ПС", Февраль!D3:D133, "6", Февраль!#REF!, "Пригородные ЭС")+SUMIFS(Февраль!G3:G133, Февраль!C3:C133, "ПС", Февраль!D3:D133, "10", Февраль!#REF!, "Пригородные ЭС")</f>
        <v>#REF!</v>
      </c>
      <c r="J39" s="210" t="e">
        <f>I39/H39</f>
        <v>#REF!</v>
      </c>
      <c r="K39" s="212" t="e">
        <f>COUNTIFS(Март!C6:C155, "ТП", Март!D6:D155, "6", Март!#REF!, "Пригородные ЭС")+COUNTIFS(Март!C6:C155, "ТП", Март!D6:D155, "10", Март!#REF!, "Пригородные ЭС")+COUNTIFS(Март!C6:C155, "ПС", Март!D6:D155, "6", Март!#REF!, "Пригородные ЭС")+COUNTIFS(Март!C6:C155, "ПС", Март!D6:D155, "10", Март!#REF!, "Пригородные ЭС")</f>
        <v>#REF!</v>
      </c>
      <c r="L39" s="209" t="e">
        <f>SUMIFS(Март!G6:G155, Март!C6:C155, "ТП", Март!D6:D155, "6", Март!#REF!, "Пригородные ЭС")+SUMIFS(Март!G6:G155, Март!C6:C155, "ТП", Март!D6:D155, "10", Март!#REF!, "Пригородные ЭС")+SUMIFS(Март!G6:G155, Март!C6:C155, "ПС", Март!D6:D155, "6", Март!#REF!, "Пригородные ЭС")+SUMIFS(Март!G6:G155, Март!C6:C155, "ПС", Март!D6:D155, "10", Март!#REF!, "Пригородные ЭС")</f>
        <v>#REF!</v>
      </c>
      <c r="M39" s="211" t="e">
        <f t="shared" si="13"/>
        <v>#REF!</v>
      </c>
      <c r="N39" s="213" t="e">
        <f>E39+H39+K39</f>
        <v>#REF!</v>
      </c>
      <c r="O39" s="209" t="e">
        <f t="shared" si="17"/>
        <v>#REF!</v>
      </c>
      <c r="P39" s="214" t="e">
        <f t="shared" si="14"/>
        <v>#REF!</v>
      </c>
    </row>
    <row r="40" spans="2:16" x14ac:dyDescent="0.25">
      <c r="C40" s="362"/>
      <c r="D40" s="207" t="s">
        <v>66</v>
      </c>
      <c r="E40" s="208">
        <v>0</v>
      </c>
      <c r="F40" s="209">
        <v>0</v>
      </c>
      <c r="G40" s="210">
        <v>0</v>
      </c>
      <c r="H40" s="208">
        <v>0</v>
      </c>
      <c r="I40" s="209">
        <v>0</v>
      </c>
      <c r="J40" s="211">
        <v>0</v>
      </c>
      <c r="K40" s="212">
        <v>0</v>
      </c>
      <c r="L40" s="209">
        <v>0</v>
      </c>
      <c r="M40" s="211">
        <v>0</v>
      </c>
      <c r="N40" s="213">
        <v>0</v>
      </c>
      <c r="O40" s="209">
        <v>0</v>
      </c>
      <c r="P40" s="214">
        <v>0</v>
      </c>
    </row>
    <row r="41" spans="2:16" ht="18.75" x14ac:dyDescent="0.3">
      <c r="B41" s="215"/>
      <c r="C41" s="362"/>
      <c r="D41" s="207" t="s">
        <v>67</v>
      </c>
      <c r="E41" s="208">
        <v>0</v>
      </c>
      <c r="F41" s="209">
        <v>0</v>
      </c>
      <c r="G41" s="210">
        <v>0</v>
      </c>
      <c r="H41" s="208">
        <v>0</v>
      </c>
      <c r="I41" s="209">
        <v>0</v>
      </c>
      <c r="J41" s="211">
        <v>0</v>
      </c>
      <c r="K41" s="212">
        <v>0</v>
      </c>
      <c r="L41" s="209">
        <v>0</v>
      </c>
      <c r="M41" s="211">
        <v>0</v>
      </c>
      <c r="N41" s="213">
        <f>K41+H41+E41</f>
        <v>0</v>
      </c>
      <c r="O41" s="209">
        <f>L41+I41+F41</f>
        <v>0</v>
      </c>
      <c r="P41" s="214">
        <v>0</v>
      </c>
    </row>
    <row r="42" spans="2:16" ht="15.75" thickBot="1" x14ac:dyDescent="0.3">
      <c r="C42" s="363"/>
      <c r="D42" s="216" t="s">
        <v>68</v>
      </c>
      <c r="E42" s="217">
        <v>0</v>
      </c>
      <c r="F42" s="218">
        <v>0</v>
      </c>
      <c r="G42" s="219">
        <v>0</v>
      </c>
      <c r="H42" s="217">
        <v>0</v>
      </c>
      <c r="I42" s="218">
        <v>0</v>
      </c>
      <c r="J42" s="220">
        <v>0</v>
      </c>
      <c r="K42" s="221">
        <v>0</v>
      </c>
      <c r="L42" s="218">
        <v>0</v>
      </c>
      <c r="M42" s="220">
        <v>0</v>
      </c>
      <c r="N42" s="243">
        <v>0</v>
      </c>
      <c r="O42" s="242">
        <v>0</v>
      </c>
      <c r="P42" s="244">
        <v>0</v>
      </c>
    </row>
    <row r="43" spans="2:16" ht="15" customHeight="1" x14ac:dyDescent="0.25">
      <c r="C43" s="364" t="s">
        <v>48</v>
      </c>
      <c r="D43" s="222" t="s">
        <v>59</v>
      </c>
      <c r="E43" s="196" t="e">
        <f>E44+E48</f>
        <v>#REF!</v>
      </c>
      <c r="F43" s="197" t="e">
        <f>F44+F48</f>
        <v>#REF!</v>
      </c>
      <c r="G43" s="198" t="e">
        <f t="shared" ref="G43:G50" si="18">F43/E43</f>
        <v>#REF!</v>
      </c>
      <c r="H43" s="196" t="e">
        <f>H44+H48</f>
        <v>#REF!</v>
      </c>
      <c r="I43" s="197" t="e">
        <f>I44+I48</f>
        <v>#REF!</v>
      </c>
      <c r="J43" s="198" t="e">
        <f t="shared" ref="J43:J50" si="19">I43/H43</f>
        <v>#REF!</v>
      </c>
      <c r="K43" s="196" t="e">
        <f>K44+K48</f>
        <v>#REF!</v>
      </c>
      <c r="L43" s="197" t="e">
        <f>L44+L48</f>
        <v>#REF!</v>
      </c>
      <c r="M43" s="199" t="e">
        <f t="shared" ref="M43:M50" si="20">L43/K43</f>
        <v>#REF!</v>
      </c>
      <c r="N43" s="224" t="e">
        <f>N44+N48</f>
        <v>#REF!</v>
      </c>
      <c r="O43" s="223" t="e">
        <f>O44+O48</f>
        <v>#REF!</v>
      </c>
      <c r="P43" s="225" t="e">
        <f t="shared" ref="P43:P51" si="21">O43/N43</f>
        <v>#REF!</v>
      </c>
    </row>
    <row r="44" spans="2:16" ht="15.75" customHeight="1" x14ac:dyDescent="0.25">
      <c r="C44" s="362"/>
      <c r="D44" s="200" t="s">
        <v>60</v>
      </c>
      <c r="E44" s="201" t="e">
        <f>E45+E46+E47</f>
        <v>#REF!</v>
      </c>
      <c r="F44" s="202" t="e">
        <f>F45+F46+F47</f>
        <v>#REF!</v>
      </c>
      <c r="G44" s="203" t="e">
        <f t="shared" si="18"/>
        <v>#REF!</v>
      </c>
      <c r="H44" s="201" t="e">
        <f>H45+H46+H47</f>
        <v>#REF!</v>
      </c>
      <c r="I44" s="202" t="e">
        <f>I45+I46+I47</f>
        <v>#REF!</v>
      </c>
      <c r="J44" s="203" t="e">
        <f t="shared" si="19"/>
        <v>#REF!</v>
      </c>
      <c r="K44" s="201" t="e">
        <f>K45+K46+K47</f>
        <v>#REF!</v>
      </c>
      <c r="L44" s="202" t="e">
        <f>L45+L46+L47</f>
        <v>#REF!</v>
      </c>
      <c r="M44" s="204">
        <v>0</v>
      </c>
      <c r="N44" s="205" t="e">
        <f>N45+N46+N47</f>
        <v>#REF!</v>
      </c>
      <c r="O44" s="202" t="e">
        <f>O45+O46+O47</f>
        <v>#REF!</v>
      </c>
      <c r="P44" s="206" t="e">
        <f t="shared" si="21"/>
        <v>#REF!</v>
      </c>
    </row>
    <row r="45" spans="2:16" x14ac:dyDescent="0.25">
      <c r="C45" s="362"/>
      <c r="D45" s="207" t="s">
        <v>61</v>
      </c>
      <c r="E45" s="208" t="e">
        <f>COUNTIFS(Январь!C3:C149, "ВЛ", Январь!D3:D149, "0,4", Январь!#REF!, "Северные ЭС")</f>
        <v>#REF!</v>
      </c>
      <c r="F45" s="209" t="e">
        <f>SUMIFS(Январь!G3:G149, Январь!C3:C149, "ВЛ", Январь!D3:D149, "0,4", Январь!#REF!, "Северные ЭС")</f>
        <v>#REF!</v>
      </c>
      <c r="G45" s="210">
        <v>0</v>
      </c>
      <c r="H45" s="208" t="e">
        <f>COUNTIFS(Февраль!C3:C133, "ВЛ", Февраль!D3:D133, "0,4", Февраль!#REF!, "Северные ЭС")</f>
        <v>#REF!</v>
      </c>
      <c r="I45" s="209" t="e">
        <f>SUMIFS(Февраль!G3:G133, Февраль!C3:C133, "ВЛ", Февраль!D3:D133, "0,4", Февраль!#REF!, "Северные ЭС")</f>
        <v>#REF!</v>
      </c>
      <c r="J45" s="210" t="e">
        <f t="shared" si="19"/>
        <v>#REF!</v>
      </c>
      <c r="K45" s="212" t="e">
        <f>COUNTIFS(Март!C6:C155, "ВЛ", Март!D6:D155, "0,4", Март!#REF!, "Северные ЭС")</f>
        <v>#REF!</v>
      </c>
      <c r="L45" s="209" t="e">
        <f>SUMIFS(Март!G6:G155, Март!C6:C155, "ВЛ", Март!D6:D155, "0,4", Март!#REF!, "Северные ЭС")</f>
        <v>#REF!</v>
      </c>
      <c r="M45" s="211">
        <v>0</v>
      </c>
      <c r="N45" s="213" t="e">
        <f t="shared" ref="N45:O47" si="22">E45+H45+K45</f>
        <v>#REF!</v>
      </c>
      <c r="O45" s="209" t="e">
        <f t="shared" si="22"/>
        <v>#REF!</v>
      </c>
      <c r="P45" s="214" t="e">
        <f t="shared" si="21"/>
        <v>#REF!</v>
      </c>
    </row>
    <row r="46" spans="2:16" ht="15.75" customHeight="1" x14ac:dyDescent="0.25">
      <c r="C46" s="362"/>
      <c r="D46" s="207" t="s">
        <v>62</v>
      </c>
      <c r="E46" s="208" t="e">
        <f>COUNTIFS(Январь!C3:C149, "КЛ", Январь!D3:D149, "0,4", Январь!#REF!, "Северные ЭС")</f>
        <v>#REF!</v>
      </c>
      <c r="F46" s="209" t="e">
        <f>SUMIFS(Январь!G3:G149, Январь!C3:C149, "КЛ", Январь!D3:D149, "0,4", Январь!#REF!, "Северные ЭС")</f>
        <v>#REF!</v>
      </c>
      <c r="G46" s="210" t="e">
        <f>F46/E46</f>
        <v>#REF!</v>
      </c>
      <c r="H46" s="208" t="e">
        <f>COUNTIFS(Февраль!C3:C133, "КЛ", Февраль!D3:D133, "0,4", Февраль!#REF!, "Северные ЭС")</f>
        <v>#REF!</v>
      </c>
      <c r="I46" s="209" t="e">
        <f>SUMIFS(Февраль!G3:G133, Февраль!C3:C133, "КЛ", Февраль!D3:D133, "0,4", Февраль!#REF!, "Северные ЭС")</f>
        <v>#REF!</v>
      </c>
      <c r="J46" s="210" t="e">
        <f>I46/H46</f>
        <v>#REF!</v>
      </c>
      <c r="K46" s="212" t="e">
        <f>COUNTIFS(Март!C6:C155, "КЛ", Март!D6:D155, "0,4", Март!#REF!, "Северные ЭС")</f>
        <v>#REF!</v>
      </c>
      <c r="L46" s="209" t="e">
        <f>SUMIFS(Март!G6:G155, Март!C6:C155, "КЛ", Март!D6:D155, "0,4", Март!#REF!, "Северные ЭС")</f>
        <v>#REF!</v>
      </c>
      <c r="M46" s="211">
        <v>0</v>
      </c>
      <c r="N46" s="213" t="e">
        <f t="shared" si="22"/>
        <v>#REF!</v>
      </c>
      <c r="O46" s="209" t="e">
        <f t="shared" si="22"/>
        <v>#REF!</v>
      </c>
      <c r="P46" s="214" t="e">
        <f t="shared" si="21"/>
        <v>#REF!</v>
      </c>
    </row>
    <row r="47" spans="2:16" x14ac:dyDescent="0.25">
      <c r="C47" s="362"/>
      <c r="D47" s="207" t="s">
        <v>63</v>
      </c>
      <c r="E47" s="208" t="e">
        <f>COUNTIFS(Январь!C3:C149, "ТП", Январь!D3:D149, "0,4", Январь!#REF!, "Северные ЭС")</f>
        <v>#REF!</v>
      </c>
      <c r="F47" s="209" t="e">
        <f>SUMIFS(Январь!G3:G149, Январь!C3:C149, "ТП", Январь!D3:D149, "0,4", Январь!#REF!, "Северные ЭС")</f>
        <v>#REF!</v>
      </c>
      <c r="G47" s="210">
        <v>0</v>
      </c>
      <c r="H47" s="208" t="e">
        <f>COUNTIFS(Февраль!C3:C133, "ТП", Февраль!D3:D133, "0,4", Февраль!#REF!, "Северные ЭС")</f>
        <v>#REF!</v>
      </c>
      <c r="I47" s="209" t="e">
        <f>SUMIFS(Февраль!G3:G133, Февраль!C3:C133, "ТП", Февраль!D3:D133, "0,4", Февраль!#REF!, "Северные ЭС")</f>
        <v>#REF!</v>
      </c>
      <c r="J47" s="210" t="e">
        <f>I47/H47</f>
        <v>#REF!</v>
      </c>
      <c r="K47" s="212" t="e">
        <f>COUNTIFS(Март!C6:C155, "ТП", Март!D6:D155, "0,4", Март!#REF!, "Северные ЭС")</f>
        <v>#REF!</v>
      </c>
      <c r="L47" s="209" t="e">
        <f>SUMIFS(Март!G6:G155, Март!C6:C155, "ТП", Март!D6:D155, "0,4", Март!#REF!, "Северные ЭС")</f>
        <v>#REF!</v>
      </c>
      <c r="M47" s="211">
        <v>0</v>
      </c>
      <c r="N47" s="213" t="e">
        <f t="shared" si="22"/>
        <v>#REF!</v>
      </c>
      <c r="O47" s="209" t="e">
        <f t="shared" si="22"/>
        <v>#REF!</v>
      </c>
      <c r="P47" s="214" t="e">
        <f t="shared" si="21"/>
        <v>#REF!</v>
      </c>
    </row>
    <row r="48" spans="2:16" x14ac:dyDescent="0.25">
      <c r="C48" s="362"/>
      <c r="D48" s="200" t="s">
        <v>64</v>
      </c>
      <c r="E48" s="201" t="e">
        <f>E49+E50+E51+E52+E53+E54</f>
        <v>#REF!</v>
      </c>
      <c r="F48" s="202" t="e">
        <f>F49+F50+F51+F52+F53+F54</f>
        <v>#REF!</v>
      </c>
      <c r="G48" s="203" t="e">
        <f t="shared" si="18"/>
        <v>#REF!</v>
      </c>
      <c r="H48" s="201" t="e">
        <f>H49+H50+H51+H52+H53+H54</f>
        <v>#REF!</v>
      </c>
      <c r="I48" s="202" t="e">
        <f>I49+I50+I51+I52+I53+I54</f>
        <v>#REF!</v>
      </c>
      <c r="J48" s="203" t="e">
        <f t="shared" si="19"/>
        <v>#REF!</v>
      </c>
      <c r="K48" s="201" t="e">
        <f>K49+K50+K51+K52+K53+K54</f>
        <v>#REF!</v>
      </c>
      <c r="L48" s="202" t="e">
        <f>L49+L50+L51+L52+L53+L54</f>
        <v>#REF!</v>
      </c>
      <c r="M48" s="204" t="e">
        <f t="shared" si="20"/>
        <v>#REF!</v>
      </c>
      <c r="N48" s="205" t="e">
        <f>N49+N50+N51+N52+N53+N54</f>
        <v>#REF!</v>
      </c>
      <c r="O48" s="202" t="e">
        <f>O49+O50+O51+O52+O53+O54</f>
        <v>#REF!</v>
      </c>
      <c r="P48" s="206" t="e">
        <f t="shared" si="21"/>
        <v>#REF!</v>
      </c>
    </row>
    <row r="49" spans="2:16" x14ac:dyDescent="0.25">
      <c r="C49" s="362"/>
      <c r="D49" s="207" t="s">
        <v>61</v>
      </c>
      <c r="E49" s="208" t="e">
        <f>COUNTIFS(Январь!C3:C149, "ВЛ", Январь!D3:D149, "6", Январь!#REF!, "Северные ЭС")+COUNTIFS(Январь!C3:C149, "ВЛ", Январь!D3:D149, "10", Январь!#REF!, "Северные ЭС")+COUNTIFS(Январь!C3:C149, "ВЛ", Январь!D3:D149, "35", Январь!#REF!, "Северные ЭС")+COUNTIFS(Январь!C3:C149, "ВЛ", Январь!D3:D149, "110", Январь!#REF!, "Северные ЭС")</f>
        <v>#REF!</v>
      </c>
      <c r="F49" s="209" t="e">
        <f>SUMIFS(Январь!G3:G149, Январь!C3:C149, "ВЛ", Январь!D3:D149, "6", Январь!#REF!, "Северные ЭС")+SUMIFS(Январь!G3:G149, Январь!C3:C149, "ВЛ", Январь!D3:D149, "10", Январь!#REF!, "Северные ЭС")+SUMIFS(Январь!G3:G149, Январь!C3:C149, "ВЛ", Январь!D3:D149, "35", Январь!#REF!, "Северные ЭС")+SUMIFS(Январь!G3:G149, Январь!C3:C149, "ВЛ", Январь!D3:D149, "110", Январь!#REF!, "Северные ЭС")</f>
        <v>#REF!</v>
      </c>
      <c r="G49" s="210" t="e">
        <f t="shared" si="18"/>
        <v>#REF!</v>
      </c>
      <c r="H49" s="208" t="e">
        <f>COUNTIFS(Февраль!C3:C133, "ВЛ", Февраль!D3:D133, "6", Февраль!#REF!, "Северные ЭС")+COUNTIFS(Февраль!C3:C133, "ВЛ", Февраль!D3:D133, "10", Февраль!#REF!, "Северные ЭС")+COUNTIFS(Февраль!C3:C133, "ВЛ", Февраль!D3:D133, "35", Февраль!#REF!, "Северные ЭС")+COUNTIFS(Февраль!C3:C133, "ВЛ", Февраль!D3:D133, "110", Февраль!#REF!, "Северные ЭС")</f>
        <v>#REF!</v>
      </c>
      <c r="I49" s="209" t="e">
        <f>SUMIFS(Февраль!G3:G133, Февраль!C3:C133, "ВЛ", Февраль!D3:D133, "6", Февраль!#REF!, "Северные ЭС")+SUMIFS(Февраль!G3:G133, Февраль!C3:C133, "ВЛ", Февраль!D3:D133, "10", Февраль!#REF!, "Северные ЭС")+SUMIFS(Февраль!G3:G133, Февраль!C3:C133, "ВЛ", Февраль!D3:D133, "35", Февраль!#REF!, "Северные ЭС")+SUMIFS(Февраль!G3:G133, Февраль!C3:C133, "ВЛ", Февраль!D3:D133, "110", Февраль!#REF!, "Северные ЭС")</f>
        <v>#REF!</v>
      </c>
      <c r="J49" s="210" t="e">
        <f>I49/H49</f>
        <v>#REF!</v>
      </c>
      <c r="K49" s="212" t="e">
        <f>COUNTIFS(Март!C6:C155, "ВЛ", Март!D6:D155, "6", Март!#REF!, "Северные ЭС")+COUNTIFS(Март!C6:C155, "ВЛ", Март!D6:D155, "10", Март!#REF!, "Северные ЭС")+COUNTIFS(Март!C6:C155, "ВЛ", Март!D6:D155, "35", Март!#REF!, "Северные ЭС")+COUNTIFS(Март!C6:C155, "ВЛ", Март!D6:D155, "110", Март!#REF!, "Северные ЭС")</f>
        <v>#REF!</v>
      </c>
      <c r="L49" s="209" t="e">
        <f>SUMIFS(Март!G6:G155, Март!C6:C155, "ВЛ", Март!D6:D155, "6", Март!#REF!, "Северные ЭС")+SUMIFS(Март!G6:G155, Март!C6:C155, "ВЛ", Март!D6:D155, "10", Март!#REF!, "Северные ЭС")+SUMIFS(Март!G6:G155, Март!C6:C155, "ВЛ", Март!D6:D155, "35", Март!#REF!, "Северные ЭС")+SUMIFS(Март!G6:G155, Март!C6:C155, "ВЛ", Март!D6:D155, "110", Март!#REF!, "Северные ЭС")</f>
        <v>#REF!</v>
      </c>
      <c r="M49" s="211" t="e">
        <f>L49/K49</f>
        <v>#REF!</v>
      </c>
      <c r="N49" s="213" t="e">
        <f t="shared" ref="N49:O51" si="23">E49+H49+K49</f>
        <v>#REF!</v>
      </c>
      <c r="O49" s="209" t="e">
        <f t="shared" si="23"/>
        <v>#REF!</v>
      </c>
      <c r="P49" s="214" t="e">
        <f t="shared" si="21"/>
        <v>#REF!</v>
      </c>
    </row>
    <row r="50" spans="2:16" x14ac:dyDescent="0.25">
      <c r="C50" s="362"/>
      <c r="D50" s="207" t="s">
        <v>62</v>
      </c>
      <c r="E50" s="208" t="e">
        <f>COUNTIFS(Январь!C3:C149, "КЛ", Январь!D3:D149, "6", Январь!#REF!, "Северные ЭС")+COUNTIFS(Январь!C3:C149, "КЛ", Январь!D3:D149, "10", Январь!#REF!, "Северные ЭС")+COUNTIFS(Январь!C3:C149, "КЛ", Январь!D3:D149, "35", Январь!#REF!, "Северные ЭС")+COUNTIFS(Январь!C3:C149, "КЛ", Январь!D3:D149, "110", Январь!#REF!, "Северные ЭС")</f>
        <v>#REF!</v>
      </c>
      <c r="F50" s="209" t="e">
        <f>SUMIFS(Январь!G3:G149, Январь!C3:C149, "КЛ", Январь!D3:D149, "6", Январь!#REF!, "Северные ЭС")+SUMIFS(Январь!G3:G149, Январь!C3:C149, "КЛ", Январь!D3:D149, "10", Январь!#REF!, "Северные ЭС")+SUMIFS(Январь!G3:G149, Январь!C3:C149, "КЛ", Январь!D3:D149, "35", Январь!#REF!, "Северные ЭС")+SUMIFS(Январь!G3:G149, Январь!C3:C149, "КЛ", Январь!D3:D149, "110", Январь!#REF!, "Северные ЭС")</f>
        <v>#REF!</v>
      </c>
      <c r="G50" s="210" t="e">
        <f t="shared" si="18"/>
        <v>#REF!</v>
      </c>
      <c r="H50" s="208" t="e">
        <f>COUNTIFS(Февраль!C3:C133, "КЛ", Февраль!D3:D133, "6", Февраль!#REF!, "Северные ЭС")+COUNTIFS(Февраль!C3:C133, "КЛ", Февраль!D3:D133, "10", Февраль!#REF!, "Северные ЭС")+COUNTIFS(Февраль!C3:C133, "КЛ", Февраль!D3:D133, "35", Февраль!#REF!, "Северные ЭС")+COUNTIFS(Февраль!C3:C133, "КЛ", Февраль!D3:D133, "110", Февраль!#REF!, "Северные ЭС")</f>
        <v>#REF!</v>
      </c>
      <c r="I50" s="209" t="e">
        <f>SUMIFS(Февраль!G3:G133, Февраль!C3:C133, "КЛ", Февраль!D3:D133, "6", Февраль!#REF!, "Северные ЭС")+SUMIFS(Февраль!G3:G133, Февраль!C3:C133, "КЛ", Февраль!D3:D133, "10", Февраль!#REF!, "Северные ЭС")+SUMIFS(Февраль!G3:G133, Февраль!C3:C133, "КЛ", Февраль!D3:D133, "35", Февраль!#REF!, "Северные ЭС")+SUMIFS(Февраль!G3:G133, Февраль!C3:C133, "КЛ", Февраль!D3:D133, "110", Февраль!#REF!, "Северные ЭС")</f>
        <v>#REF!</v>
      </c>
      <c r="J50" s="210" t="e">
        <f t="shared" si="19"/>
        <v>#REF!</v>
      </c>
      <c r="K50" s="212" t="e">
        <f>COUNTIFS(Март!C6:C155, "КЛ", Март!D6:D155, "6", Март!#REF!, "Северные ЭС")+COUNTIFS(Март!C6:C155, "КЛ", Март!D6:D155, "10", Март!#REF!, "Северные ЭС")+COUNTIFS(Март!C6:C155, "КЛ", Март!D6:D155, "35", Март!#REF!, "Северные ЭС")+COUNTIFS(Март!C6:C155, "КЛ", Март!D6:D155, "110", Март!#REF!, "Северные ЭС")</f>
        <v>#REF!</v>
      </c>
      <c r="L50" s="209" t="e">
        <f>SUMIFS(Март!G6:G155, Март!C6:C155, "КЛ", Март!D6:D155, "6", Март!#REF!, "Северные ЭС")+SUMIFS(Март!G6:G155, Март!C6:C155, "КЛ", Март!D6:D155, "10", Март!#REF!, "Северные ЭС")+SUMIFS(Март!G6:G155, Март!C6:C155, "КЛ", Март!D6:D155, "35", Март!#REF!, "Северные ЭС")+SUMIFS(Март!G6:G155, Март!C6:C155, "КЛ", Март!D6:D155, "110", Март!#REF!, "Северные ЭС")</f>
        <v>#REF!</v>
      </c>
      <c r="M50" s="211" t="e">
        <f t="shared" si="20"/>
        <v>#REF!</v>
      </c>
      <c r="N50" s="213" t="e">
        <f t="shared" si="23"/>
        <v>#REF!</v>
      </c>
      <c r="O50" s="209" t="e">
        <f t="shared" si="23"/>
        <v>#REF!</v>
      </c>
      <c r="P50" s="214" t="e">
        <f t="shared" si="21"/>
        <v>#REF!</v>
      </c>
    </row>
    <row r="51" spans="2:16" x14ac:dyDescent="0.25">
      <c r="C51" s="362"/>
      <c r="D51" s="207" t="s">
        <v>65</v>
      </c>
      <c r="E51" s="208" t="e">
        <f>COUNTIFS(Январь!C3:C149, "ТП", Январь!D3:D149, "6", Январь!#REF!, "Северные ЭС")+COUNTIFS(Январь!C3:C149, "ТП", Январь!D3:D149, "10", Январь!#REF!, "Северные ЭС")+COUNTIFS(Январь!C3:C149, "ПС", Январь!D3:D149, "6", Январь!#REF!, "Северные ЭС")+COUNTIFS(Январь!C3:C149, "ПС", Январь!D3:D149, "10", Январь!#REF!, "Северные ЭС")+COUNTIFS(Январь!C3:C149, "РП", Январь!D3:D149, "6", Январь!#REF!, "Северные ЭС")+COUNTIFS(Январь!C3:C149, "РП", Январь!D3:D149, "10", Январь!#REF!, "Северные ЭС")</f>
        <v>#REF!</v>
      </c>
      <c r="F51" s="209" t="e">
        <f>SUMIFS(Январь!G3:G149, Январь!C3:C149, "ТП", Январь!D3:D149, "6", Январь!#REF!, "Северные ЭС")+SUMIFS(Январь!G3:G149, Январь!C3:C149, "ТП", Январь!D3:D149, "10", Январь!#REF!, "Северные ЭС")+SUMIFS(Январь!G3:G149, Январь!C3:C149, "ПС", Январь!D3:D149, "6", Январь!#REF!, "Северные ЭС")+SUMIFS(Январь!G3:G149, Январь!C3:C149, "ПС", Январь!D3:D149, "10", Январь!#REF!, "Северные ЭС")</f>
        <v>#REF!</v>
      </c>
      <c r="G51" s="210">
        <v>0</v>
      </c>
      <c r="H51" s="208" t="e">
        <f>COUNTIFS(Февраль!C3:C133, "ТП", Февраль!D3:D133, "6", Февраль!#REF!, "Северные ЭС")+COUNTIFS(Февраль!C3:C133, "ТП", Февраль!D3:D133, "10", Февраль!#REF!, "Северные ЭС")+COUNTIFS(Февраль!C3:C133, "ПС", Февраль!D3:D133, "6", Февраль!#REF!, "Северные ЭС")+COUNTIFS(Февраль!C3:C133, "ПС", Февраль!D3:D133, "10", Февраль!#REF!, "Северные ЭС")</f>
        <v>#REF!</v>
      </c>
      <c r="I51" s="209" t="e">
        <f>SUMIFS(Февраль!G3:G133, Февраль!C3:C133, "ТП", Февраль!D3:D133, "6", Февраль!#REF!, "Северные ЭС")+SUMIFS(Февраль!G3:G133, Февраль!C3:C133, "ТП", Февраль!D3:D133, "10", Февраль!#REF!, "Северные ЭС")+SUMIFS(Февраль!G3:G133, Февраль!C3:C133, "ПС", Февраль!D3:D133, "6", Февраль!#REF!, "Северные ЭС")+SUMIFS(Февраль!G3:G133, Февраль!C3:C133, "ПС", Февраль!D3:D133, "10", Февраль!#REF!, "Северные ЭС")</f>
        <v>#REF!</v>
      </c>
      <c r="J51" s="210" t="e">
        <f>I51/H51</f>
        <v>#REF!</v>
      </c>
      <c r="K51" s="212" t="e">
        <f>COUNTIFS(Март!C6:C155, "ТП", Март!D6:D155, "6", Март!#REF!, "Северные ЭС")+COUNTIFS(Март!C6:C155, "ТП", Март!D6:D155, "10", Март!#REF!, "Северные ЭС")+COUNTIFS(Март!C6:C155, "ПС", Март!D6:D155, "6", Март!#REF!, "Северные ЭС")+COUNTIFS(Март!C6:C155, "ПС", Март!D6:D155, "10", Март!#REF!, "Северные ЭС")</f>
        <v>#REF!</v>
      </c>
      <c r="L51" s="209" t="e">
        <f>SUMIFS(Март!G6:G155, Март!C6:C155, "ТП", Март!D6:D155, "6", Март!#REF!, "Северные ЭС")+SUMIFS(Март!G6:G155, Март!C6:C155, "ТП", Март!D6:D155, "10", Март!#REF!, "Северные ЭС")+SUMIFS(Март!G6:G155, Март!C6:C155, "ПС", Март!D6:D155, "6", Март!#REF!, "Северные ЭС")+SUMIFS(Март!G6:G155, Март!C6:C155, "ПС", Март!D6:D155, "10", Март!#REF!, "Северные ЭС")</f>
        <v>#REF!</v>
      </c>
      <c r="M51" s="211" t="e">
        <f>L51/K51</f>
        <v>#REF!</v>
      </c>
      <c r="N51" s="213" t="e">
        <f t="shared" si="23"/>
        <v>#REF!</v>
      </c>
      <c r="O51" s="209" t="e">
        <f t="shared" si="23"/>
        <v>#REF!</v>
      </c>
      <c r="P51" s="214" t="e">
        <f t="shared" si="21"/>
        <v>#REF!</v>
      </c>
    </row>
    <row r="52" spans="2:16" x14ac:dyDescent="0.25">
      <c r="C52" s="362"/>
      <c r="D52" s="207" t="s">
        <v>66</v>
      </c>
      <c r="E52" s="208">
        <v>1</v>
      </c>
      <c r="F52" s="209">
        <v>1.37</v>
      </c>
      <c r="G52" s="210">
        <f>F52/E52</f>
        <v>1.37</v>
      </c>
      <c r="H52" s="208">
        <v>0</v>
      </c>
      <c r="I52" s="209">
        <v>0</v>
      </c>
      <c r="J52" s="211">
        <v>0</v>
      </c>
      <c r="K52" s="212">
        <v>0</v>
      </c>
      <c r="L52" s="209">
        <v>0</v>
      </c>
      <c r="M52" s="211">
        <v>0</v>
      </c>
      <c r="N52" s="213">
        <f t="shared" ref="N52" si="24">E52+H52+K52</f>
        <v>1</v>
      </c>
      <c r="O52" s="209">
        <f t="shared" ref="O52" si="25">F52+I52+L52</f>
        <v>1.37</v>
      </c>
      <c r="P52" s="214">
        <f>O52/N52</f>
        <v>1.37</v>
      </c>
    </row>
    <row r="53" spans="2:16" ht="18.75" x14ac:dyDescent="0.3">
      <c r="B53" s="215"/>
      <c r="C53" s="362"/>
      <c r="D53" s="207" t="s">
        <v>67</v>
      </c>
      <c r="E53" s="208">
        <v>0</v>
      </c>
      <c r="F53" s="209">
        <v>0</v>
      </c>
      <c r="G53" s="210">
        <v>0</v>
      </c>
      <c r="H53" s="208">
        <v>0</v>
      </c>
      <c r="I53" s="209">
        <v>0</v>
      </c>
      <c r="J53" s="211">
        <v>0</v>
      </c>
      <c r="K53" s="212">
        <v>0</v>
      </c>
      <c r="L53" s="209">
        <v>0</v>
      </c>
      <c r="M53" s="211">
        <v>0</v>
      </c>
      <c r="N53" s="213">
        <v>0</v>
      </c>
      <c r="O53" s="209">
        <v>0</v>
      </c>
      <c r="P53" s="214">
        <v>0</v>
      </c>
    </row>
    <row r="54" spans="2:16" ht="15.75" thickBot="1" x14ac:dyDescent="0.3">
      <c r="C54" s="363"/>
      <c r="D54" s="216" t="s">
        <v>68</v>
      </c>
      <c r="E54" s="217">
        <v>0</v>
      </c>
      <c r="F54" s="218">
        <v>0</v>
      </c>
      <c r="G54" s="219">
        <v>0</v>
      </c>
      <c r="H54" s="217">
        <v>0</v>
      </c>
      <c r="I54" s="218">
        <v>0</v>
      </c>
      <c r="J54" s="220">
        <v>0</v>
      </c>
      <c r="K54" s="221">
        <v>0</v>
      </c>
      <c r="L54" s="218">
        <v>0</v>
      </c>
      <c r="M54" s="220">
        <v>0</v>
      </c>
      <c r="N54" s="243">
        <v>0</v>
      </c>
      <c r="O54" s="242">
        <v>0</v>
      </c>
      <c r="P54" s="244">
        <v>0</v>
      </c>
    </row>
    <row r="55" spans="2:16" ht="15" customHeight="1" x14ac:dyDescent="0.25">
      <c r="C55" s="364" t="s">
        <v>49</v>
      </c>
      <c r="D55" s="222" t="s">
        <v>59</v>
      </c>
      <c r="E55" s="196" t="e">
        <f>E56+E60</f>
        <v>#REF!</v>
      </c>
      <c r="F55" s="197" t="e">
        <f>F56+F60</f>
        <v>#REF!</v>
      </c>
      <c r="G55" s="198" t="e">
        <f t="shared" ref="G55:G62" si="26">F55/E55</f>
        <v>#REF!</v>
      </c>
      <c r="H55" s="196" t="e">
        <f>H56+H60</f>
        <v>#REF!</v>
      </c>
      <c r="I55" s="197" t="e">
        <f>I56+I60</f>
        <v>#REF!</v>
      </c>
      <c r="J55" s="198" t="e">
        <f t="shared" ref="J55:J62" si="27">I55/H55</f>
        <v>#REF!</v>
      </c>
      <c r="K55" s="196" t="e">
        <f>K56+K60</f>
        <v>#REF!</v>
      </c>
      <c r="L55" s="197" t="e">
        <f>L56+L60</f>
        <v>#REF!</v>
      </c>
      <c r="M55" s="199" t="e">
        <f t="shared" ref="M55:M63" si="28">L55/K55</f>
        <v>#REF!</v>
      </c>
      <c r="N55" s="224" t="e">
        <f>N56+N60</f>
        <v>#REF!</v>
      </c>
      <c r="O55" s="223" t="e">
        <f>O56+O60</f>
        <v>#REF!</v>
      </c>
      <c r="P55" s="225" t="e">
        <f t="shared" ref="P55:P63" si="29">O55/N55</f>
        <v>#REF!</v>
      </c>
    </row>
    <row r="56" spans="2:16" ht="15.75" customHeight="1" x14ac:dyDescent="0.25">
      <c r="C56" s="362"/>
      <c r="D56" s="200" t="s">
        <v>60</v>
      </c>
      <c r="E56" s="201" t="e">
        <f>E57+E58+E59</f>
        <v>#REF!</v>
      </c>
      <c r="F56" s="202" t="e">
        <f>F57+F58+F59</f>
        <v>#REF!</v>
      </c>
      <c r="G56" s="203" t="e">
        <f t="shared" si="26"/>
        <v>#REF!</v>
      </c>
      <c r="H56" s="201" t="e">
        <f>H57+H58+H59</f>
        <v>#REF!</v>
      </c>
      <c r="I56" s="202" t="e">
        <f>I57+I58+I59</f>
        <v>#REF!</v>
      </c>
      <c r="J56" s="203" t="e">
        <f>I56/H56</f>
        <v>#REF!</v>
      </c>
      <c r="K56" s="201" t="e">
        <f>K57+K58+K59</f>
        <v>#REF!</v>
      </c>
      <c r="L56" s="202" t="e">
        <f>L57+L58+L59</f>
        <v>#REF!</v>
      </c>
      <c r="M56" s="204" t="e">
        <f>L56/K56</f>
        <v>#REF!</v>
      </c>
      <c r="N56" s="205" t="e">
        <f>N57+N58+N59</f>
        <v>#REF!</v>
      </c>
      <c r="O56" s="202" t="e">
        <f>O57+O58+O59</f>
        <v>#REF!</v>
      </c>
      <c r="P56" s="206" t="e">
        <f t="shared" si="29"/>
        <v>#REF!</v>
      </c>
    </row>
    <row r="57" spans="2:16" x14ac:dyDescent="0.25">
      <c r="C57" s="362"/>
      <c r="D57" s="207" t="s">
        <v>61</v>
      </c>
      <c r="E57" s="208" t="e">
        <f>COUNTIFS(Январь!C3:C149, "ВЛ", Январь!D3:D149, "0,4", Январь!#REF!, "Центральные ЭС")</f>
        <v>#REF!</v>
      </c>
      <c r="F57" s="209" t="e">
        <f>SUMIFS(Январь!G3:G149, Январь!C3:C149, "ВЛ", Январь!D3:D149, "0,4", Январь!#REF!, "Центральные ЭС")</f>
        <v>#REF!</v>
      </c>
      <c r="G57" s="210" t="e">
        <f>F57/E57</f>
        <v>#REF!</v>
      </c>
      <c r="H57" s="208" t="e">
        <f>COUNTIFS(Февраль!C3:C133, "ВЛ", Февраль!D3:D133, "0,4", Февраль!#REF!, "Центральные ЭС")</f>
        <v>#REF!</v>
      </c>
      <c r="I57" s="209" t="e">
        <f>SUMIFS(Февраль!G3:G133, Февраль!C3:C133, "ВЛ", Февраль!D3:D133, "0,4", Февраль!#REF!, "Центральные ЭС")</f>
        <v>#REF!</v>
      </c>
      <c r="J57" s="210" t="e">
        <f>I57/H57</f>
        <v>#REF!</v>
      </c>
      <c r="K57" s="212" t="e">
        <f>COUNTIFS(Март!C6:C155, "ВЛ", Март!D6:D155, "0,4", Март!#REF!, "Центральные ЭС")</f>
        <v>#REF!</v>
      </c>
      <c r="L57" s="209" t="e">
        <f>SUMIFS(Март!G6:G155, Март!C6:C155, "ВЛ", Март!D6:D155, "0,4", Март!#REF!, "Центральные ЭС")</f>
        <v>#REF!</v>
      </c>
      <c r="M57" s="211" t="e">
        <f>L57/K57</f>
        <v>#REF!</v>
      </c>
      <c r="N57" s="213" t="e">
        <f t="shared" ref="N57:O59" si="30">E57+H57+K57</f>
        <v>#REF!</v>
      </c>
      <c r="O57" s="209" t="e">
        <f t="shared" si="30"/>
        <v>#REF!</v>
      </c>
      <c r="P57" s="214" t="e">
        <f t="shared" si="29"/>
        <v>#REF!</v>
      </c>
    </row>
    <row r="58" spans="2:16" x14ac:dyDescent="0.25">
      <c r="C58" s="362"/>
      <c r="D58" s="207" t="s">
        <v>62</v>
      </c>
      <c r="E58" s="208" t="e">
        <f>COUNTIFS(Январь!C3:C149, "КЛ", Январь!D3:D149, "0,4", Январь!#REF!, "Центральные ЭС")</f>
        <v>#REF!</v>
      </c>
      <c r="F58" s="209" t="e">
        <f>SUMIFS(Январь!G3:G149, Январь!C3:C149, "КЛ", Январь!D3:D149, "0,4", Январь!#REF!, "Центральные ЭС")</f>
        <v>#REF!</v>
      </c>
      <c r="G58" s="210">
        <v>0</v>
      </c>
      <c r="H58" s="208" t="e">
        <f>COUNTIFS(Февраль!C3:C133, "КЛ", Февраль!D3:D133, "0,4", Февраль!#REF!, "Центральные ЭС")</f>
        <v>#REF!</v>
      </c>
      <c r="I58" s="209" t="e">
        <f>SUMIFS(Февраль!G3:G133, Февраль!C3:C133, "КЛ", Февраль!D3:D133, "0,4", Февраль!#REF!, "Центральные ЭС")</f>
        <v>#REF!</v>
      </c>
      <c r="J58" s="210" t="e">
        <f>I58/H58</f>
        <v>#REF!</v>
      </c>
      <c r="K58" s="212" t="e">
        <f>COUNTIFS(Март!C6:C155, "КЛ", Март!D6:D155, "0,4", Март!#REF!, "Центральные ЭС")</f>
        <v>#REF!</v>
      </c>
      <c r="L58" s="209" t="e">
        <f>SUMIFS(Март!G6:G155, Март!C6:C155, "КЛ", Март!D6:D155, "0,4", Март!#REF!, "Центральные ЭС")</f>
        <v>#REF!</v>
      </c>
      <c r="M58" s="211" t="e">
        <f>L58/K58</f>
        <v>#REF!</v>
      </c>
      <c r="N58" s="213" t="e">
        <f t="shared" si="30"/>
        <v>#REF!</v>
      </c>
      <c r="O58" s="209" t="e">
        <f t="shared" si="30"/>
        <v>#REF!</v>
      </c>
      <c r="P58" s="214" t="e">
        <f t="shared" si="29"/>
        <v>#REF!</v>
      </c>
    </row>
    <row r="59" spans="2:16" x14ac:dyDescent="0.25">
      <c r="C59" s="362"/>
      <c r="D59" s="207" t="s">
        <v>63</v>
      </c>
      <c r="E59" s="208" t="e">
        <f>COUNTIFS(Январь!C3:C149, "ТП", Январь!D3:D149, "0,4", Январь!#REF!, "Центральные ЭС")</f>
        <v>#REF!</v>
      </c>
      <c r="F59" s="209" t="e">
        <f>SUMIFS(Январь!G3:G149, Январь!C3:C149, "ТП", Январь!D3:D149, "0,4", Январь!#REF!, "Центральные ЭС")</f>
        <v>#REF!</v>
      </c>
      <c r="G59" s="210" t="e">
        <f>F59/E59</f>
        <v>#REF!</v>
      </c>
      <c r="H59" s="208" t="e">
        <f>COUNTIFS(Февраль!C3:C133, "ТП", Февраль!D3:D133, "0,4", Февраль!#REF!, "Центральные ЭС")</f>
        <v>#REF!</v>
      </c>
      <c r="I59" s="209" t="e">
        <f>SUMIFS(Февраль!G3:G133, Февраль!C3:C133, "ТП", Февраль!D3:D133, "0,4", Февраль!#REF!, "Центральные ЭС")</f>
        <v>#REF!</v>
      </c>
      <c r="J59" s="210">
        <v>0</v>
      </c>
      <c r="K59" s="212" t="e">
        <f>COUNTIFS(Март!C6:C155, "ТП", Март!D6:D155, "0,4", Март!#REF!, "Центральные ЭС")</f>
        <v>#REF!</v>
      </c>
      <c r="L59" s="209" t="e">
        <f>SUMIFS(Март!G6:G155, Март!C6:C155, "ТП", Март!D6:D155, "0,4", Март!#REF!, "Центральные ЭС")</f>
        <v>#REF!</v>
      </c>
      <c r="M59" s="211" t="e">
        <f>L59/K59</f>
        <v>#REF!</v>
      </c>
      <c r="N59" s="213" t="e">
        <f t="shared" si="30"/>
        <v>#REF!</v>
      </c>
      <c r="O59" s="209" t="e">
        <f t="shared" si="30"/>
        <v>#REF!</v>
      </c>
      <c r="P59" s="214" t="e">
        <f>O59/N59</f>
        <v>#REF!</v>
      </c>
    </row>
    <row r="60" spans="2:16" x14ac:dyDescent="0.25">
      <c r="C60" s="362"/>
      <c r="D60" s="200" t="s">
        <v>64</v>
      </c>
      <c r="E60" s="201" t="e">
        <f>E61+E62+E63+E64+E65+E66</f>
        <v>#REF!</v>
      </c>
      <c r="F60" s="202" t="e">
        <f>F61+F62+F63+F64+F65+F66</f>
        <v>#REF!</v>
      </c>
      <c r="G60" s="203" t="e">
        <f t="shared" si="26"/>
        <v>#REF!</v>
      </c>
      <c r="H60" s="201" t="e">
        <f>H61+H62+H63+H64+H65+H66</f>
        <v>#REF!</v>
      </c>
      <c r="I60" s="202" t="e">
        <f>I61+I62+I63+I64+I65+I66</f>
        <v>#REF!</v>
      </c>
      <c r="J60" s="203" t="e">
        <f t="shared" si="27"/>
        <v>#REF!</v>
      </c>
      <c r="K60" s="201" t="e">
        <f>K61+K62+K63+K64+K65+K66</f>
        <v>#REF!</v>
      </c>
      <c r="L60" s="202" t="e">
        <f>L61+L62+L63+L64+L65+L66</f>
        <v>#REF!</v>
      </c>
      <c r="M60" s="204" t="e">
        <f t="shared" si="28"/>
        <v>#REF!</v>
      </c>
      <c r="N60" s="205" t="e">
        <f>N61+N62+N63+N64+N65+N66</f>
        <v>#REF!</v>
      </c>
      <c r="O60" s="202" t="e">
        <f>O61+O62+O63+O64+O65+O66</f>
        <v>#REF!</v>
      </c>
      <c r="P60" s="206" t="e">
        <f t="shared" si="29"/>
        <v>#REF!</v>
      </c>
    </row>
    <row r="61" spans="2:16" x14ac:dyDescent="0.25">
      <c r="C61" s="362"/>
      <c r="D61" s="207" t="s">
        <v>61</v>
      </c>
      <c r="E61" s="208" t="e">
        <f>COUNTIFS(Январь!C3:C149, "ВЛ", Январь!D3:D149, "6", Январь!#REF!, "Центральные ЭС")+COUNTIFS(Январь!C3:C149, "ВЛ", Январь!D3:D149, "10", Январь!#REF!, "Центральные ЭС")+COUNTIFS(Январь!C3:C149, "ВЛ", Январь!D3:D149, "35", Январь!#REF!, "Центральные ЭС")+COUNTIFS(Январь!C3:C149, "ВЛ", Январь!D3:D149, "110", Январь!#REF!, "Центральные ЭС")</f>
        <v>#REF!</v>
      </c>
      <c r="F61" s="209" t="e">
        <f>SUMIFS(Январь!G3:G149, Январь!C3:C149, "ВЛ", Январь!D3:D149, "6", Январь!#REF!, "Центральные ЭС")+SUMIFS(Январь!G3:G149, Январь!C3:C149, "ВЛ", Январь!D3:D149, "10", Январь!#REF!, "Центральные ЭС")+SUMIFS(Январь!G3:G149, Январь!C3:C149, "ВЛ", Январь!D3:D149, "35", Январь!#REF!, "Центральные ЭС")+SUMIFS(Январь!G3:G149, Январь!C3:C149, "ВЛ", Январь!D3:D149, "110", Январь!#REF!, "Центральные ЭС")</f>
        <v>#REF!</v>
      </c>
      <c r="G61" s="210" t="e">
        <f t="shared" si="26"/>
        <v>#REF!</v>
      </c>
      <c r="H61" s="208" t="e">
        <f>COUNTIFS(Февраль!C3:C133, "ВЛ", Февраль!D3:D133, "6", Февраль!#REF!, "Центральные ЭС")+COUNTIFS(Февраль!C3:C133, "ВЛ", Февраль!D3:D133, "10", Февраль!#REF!, "Центральные ЭС")+COUNTIFS(Февраль!C3:C133, "ВЛ", Февраль!D3:D133, "35", Февраль!#REF!, "Центральные ЭС")+COUNTIFS(Февраль!C3:C133, "ВЛ", Февраль!D3:D133, "110", Февраль!#REF!, "Центральные ЭС")</f>
        <v>#REF!</v>
      </c>
      <c r="I61" s="209" t="e">
        <f>SUMIFS(Февраль!G3:G133, Февраль!C3:C133, "ВЛ", Февраль!D3:D133, "6", Февраль!#REF!, "Центральные ЭС")+SUMIFS(Февраль!G3:G133, Февраль!C3:C133, "ВЛ", Февраль!D3:D133, "10", Февраль!#REF!, "Центральные ЭС")+SUMIFS(Февраль!G3:G133, Февраль!C3:C133, "ВЛ", Февраль!D3:D133, "35", Февраль!#REF!, "Центральные ЭС")+SUMIFS(Февраль!G3:G133, Февраль!C3:C133, "ВЛ", Февраль!D3:D133, "110", Февраль!#REF!, "Центральные ЭС")</f>
        <v>#REF!</v>
      </c>
      <c r="J61" s="210" t="e">
        <f t="shared" si="27"/>
        <v>#REF!</v>
      </c>
      <c r="K61" s="212" t="e">
        <f>COUNTIFS(Март!C6:C155, "ВЛ", Март!D6:D155, "6", Март!#REF!, "Центральные ЭС")+COUNTIFS(Март!C6:C155, "ВЛ", Март!D6:D155, "10", Март!#REF!, "Центральные ЭС")+COUNTIFS(Март!C6:C155, "ВЛ", Март!D6:D155, "35", Март!#REF!, "Центральные ЭС")+COUNTIFS(Март!C6:C155, "ВЛ", Март!D6:D155, "110", Март!#REF!, "Центральные ЭС")</f>
        <v>#REF!</v>
      </c>
      <c r="L61" s="209" t="e">
        <f>SUMIFS(Март!G6:G155, Март!C6:C155, "ВЛ", Март!D6:D155, "6", Март!#REF!, "Центральные ЭС")+SUMIFS(Март!G6:G155, Март!C6:C155, "ВЛ", Март!D6:D155, "10", Март!#REF!, "Центральные ЭС")+SUMIFS(Март!G6:G155, Март!C6:C155, "ВЛ", Март!D6:D155, "35", Март!#REF!, "Центральные ЭС")+SUMIFS(Март!G6:G155, Март!C6:C155, "ВЛ", Март!D6:D155, "110", Март!#REF!, "Центральные ЭС")</f>
        <v>#REF!</v>
      </c>
      <c r="M61" s="211" t="e">
        <f t="shared" si="28"/>
        <v>#REF!</v>
      </c>
      <c r="N61" s="213" t="e">
        <f t="shared" ref="N61:O62" si="31">E61+H61+K61</f>
        <v>#REF!</v>
      </c>
      <c r="O61" s="209" t="e">
        <f t="shared" si="31"/>
        <v>#REF!</v>
      </c>
      <c r="P61" s="214" t="e">
        <f t="shared" si="29"/>
        <v>#REF!</v>
      </c>
    </row>
    <row r="62" spans="2:16" x14ac:dyDescent="0.25">
      <c r="C62" s="362"/>
      <c r="D62" s="207" t="s">
        <v>62</v>
      </c>
      <c r="E62" s="208" t="e">
        <f>COUNTIFS(Январь!C3:C149, "КЛ", Январь!D3:D149, "6", Январь!#REF!, "Центральные ЭС")+COUNTIFS(Январь!C3:C149, "КЛ", Январь!D3:D149, "10", Январь!#REF!, "Центральные ЭС")+COUNTIFS(Январь!C3:C149, "КЛ", Январь!D3:D149, "35", Январь!#REF!, "Центральные ЭС")+COUNTIFS(Январь!C3:C149, "КЛ", Январь!D3:D149, "110", Январь!#REF!, "Центральные ЭС")</f>
        <v>#REF!</v>
      </c>
      <c r="F62" s="209" t="e">
        <f>SUMIFS(Январь!G3:G149, Январь!C3:C149, "КЛ", Январь!D3:D149, "6", Январь!#REF!, "Центральные ЭС")+SUMIFS(Январь!G3:G149, Январь!C3:C149, "КЛ", Январь!D3:D149, "10", Январь!#REF!, "Центральные ЭС")+SUMIFS(Январь!G3:G149, Январь!C3:C149, "КЛ", Январь!D3:D149, "35", Январь!#REF!, "Центральные ЭС")+SUMIFS(Январь!G3:G149, Январь!C3:C149, "КЛ", Январь!D3:D149, "110", Январь!#REF!, "Центральные ЭС")</f>
        <v>#REF!</v>
      </c>
      <c r="G62" s="210" t="e">
        <f t="shared" si="26"/>
        <v>#REF!</v>
      </c>
      <c r="H62" s="208" t="e">
        <f>COUNTIFS(Февраль!C3:C133, "КЛ", Февраль!D3:D133, "6", Февраль!#REF!, "Центральные ЭС")+COUNTIFS(Февраль!C3:C133, "КЛ", Февраль!D3:D133, "10", Февраль!#REF!, "Центральные ЭС")+COUNTIFS(Февраль!C3:C133, "КЛ", Февраль!D3:D133, "35", Февраль!#REF!, "Центральные ЭС")+COUNTIFS(Февраль!C3:C133, "КЛ", Февраль!D3:D133, "110", Февраль!#REF!, "Центральные ЭС")</f>
        <v>#REF!</v>
      </c>
      <c r="I62" s="209" t="e">
        <f>SUMIFS(Февраль!G3:G133, Февраль!C3:C133, "КЛ", Февраль!D3:D133, "6", Февраль!#REF!, "Центральные ЭС")+SUMIFS(Февраль!G3:G133, Февраль!C3:C133, "КЛ", Февраль!D3:D133, "10", Февраль!#REF!, "Центральные ЭС")+SUMIFS(Февраль!G3:G133, Февраль!C3:C133, "КЛ", Февраль!D3:D133, "35", Февраль!#REF!, "Центральные ЭС")+SUMIFS(Февраль!G3:G133, Февраль!C3:C133, "КЛ", Февраль!D3:D133, "110", Февраль!#REF!, "Центральные ЭС")</f>
        <v>#REF!</v>
      </c>
      <c r="J62" s="210" t="e">
        <f t="shared" si="27"/>
        <v>#REF!</v>
      </c>
      <c r="K62" s="212" t="e">
        <f>COUNTIFS(Март!C6:C155, "КЛ", Март!D6:D155, "6", Март!#REF!, "Центральные ЭС")+COUNTIFS(Март!C6:C155, "КЛ", Март!D6:D155, "10", Март!#REF!, "Центральные ЭС")+COUNTIFS(Март!C6:C155, "КЛ", Март!D6:D155, "35", Март!#REF!, "Центральные ЭС")+COUNTIFS(Март!C6:C155, "КЛ", Март!D6:D155, "110", Март!#REF!, "Центральные ЭС")</f>
        <v>#REF!</v>
      </c>
      <c r="L62" s="209" t="e">
        <f>SUMIFS(Март!G6:G155, Март!C6:C155, "КЛ", Март!D6:D155, "6", Март!#REF!, "Центральные ЭС")+SUMIFS(Март!G6:G155, Март!C6:C155, "КЛ", Март!D6:D155, "10", Март!#REF!, "Центральные ЭС")+SUMIFS(Март!G6:G155, Март!C6:C155, "КЛ", Март!D6:D155, "35", Март!#REF!, "Центральные ЭС")+SUMIFS(Март!G6:G155, Март!C6:C155, "КЛ", Март!D6:D155, "110", Март!#REF!, "Центральные ЭС")</f>
        <v>#REF!</v>
      </c>
      <c r="M62" s="211" t="e">
        <f t="shared" si="28"/>
        <v>#REF!</v>
      </c>
      <c r="N62" s="213" t="e">
        <f t="shared" si="31"/>
        <v>#REF!</v>
      </c>
      <c r="O62" s="209" t="e">
        <f t="shared" si="31"/>
        <v>#REF!</v>
      </c>
      <c r="P62" s="214" t="e">
        <f t="shared" si="29"/>
        <v>#REF!</v>
      </c>
    </row>
    <row r="63" spans="2:16" x14ac:dyDescent="0.25">
      <c r="C63" s="362"/>
      <c r="D63" s="207" t="s">
        <v>65</v>
      </c>
      <c r="E63" s="208" t="e">
        <f>COUNTIFS(Январь!C3:C149, "ТП", Январь!D3:D149, "6", Январь!#REF!, "Центральные ЭС")+COUNTIFS(Январь!C3:C149, "ТП", Январь!D3:D149, "10", Январь!#REF!, "Центральные ЭС")+COUNTIFS(Январь!C3:C149, "ПС", Январь!D3:D149, "6", Январь!#REF!, "Центральные ЭС")+COUNTIFS(Январь!C3:C149, "ПС", Январь!D3:D149, "10", Январь!#REF!, "Центральные ЭС")+COUNTIFS(Январь!C3:C149, "РП", Январь!D3:D149, "6", Январь!#REF!, "Центральные ЭС")+COUNTIFS(Январь!C3:C149, "РП", Январь!D3:D149, "10", Январь!#REF!, "Центральные ЭС")</f>
        <v>#REF!</v>
      </c>
      <c r="F63" s="209" t="e">
        <f>SUMIFS(Январь!G3:G149, Январь!C3:C149, "ТП", Январь!D3:D149, "6", Январь!#REF!, "Центральные ЭС")+SUMIFS(Январь!G3:G149, Январь!C3:C149, "ТП", Январь!D3:D149, "10", Январь!#REF!, "Центральные ЭС")+SUMIFS(Январь!G3:G149, Январь!C3:C149, "ПС", Январь!D3:D149, "6", Январь!#REF!, "Центральные ЭС")+SUMIFS(Январь!G3:G149, Январь!C3:C149, "ПС", Январь!D3:D149, "10", Январь!#REF!, "Центральные ЭС")+SUMIFS(Январь!G3:G149, Январь!C3:C149, "РП", Январь!D3:D149, "6", Январь!#REF!, "Центральные ЭС")+SUMIFS(Январь!G3:G149, Январь!C3:C149, "РП", Январь!D3:D149, "10", Январь!#REF!, "Центральные ЭС")</f>
        <v>#REF!</v>
      </c>
      <c r="G63" s="210" t="e">
        <f>F63/E63</f>
        <v>#REF!</v>
      </c>
      <c r="H63" s="208" t="e">
        <f>COUNTIFS(Февраль!C3:C133, "ТП", Февраль!D3:D133, "6", Февраль!#REF!, "Центральные ЭС")+COUNTIFS(Февраль!C3:C133, "ТП", Февраль!D3:D133, "10", Февраль!#REF!, "Центральные ЭС")+COUNTIFS(Февраль!C3:C133, "ПС", Февраль!D3:D133, "6", Февраль!#REF!, "Центральные ЭС")+COUNTIFS(Февраль!C3:C133, "ПС", Февраль!D3:D133, "10", Февраль!#REF!, "Центральные ЭС")+COUNTIFS(Февраль!C3:C133, "РП", Февраль!D3:D133, "6", Февраль!#REF!, "Центральные ЭС")+COUNTIFS(Февраль!C3:C133, "РП", Февраль!D3:D133, "10", Февраль!#REF!, "Центральные ЭС")</f>
        <v>#REF!</v>
      </c>
      <c r="I63" s="209" t="e">
        <f>SUMIFS(Февраль!G3:G133, Февраль!C3:C133, "ТП", Февраль!D3:D133, "6", Февраль!#REF!, "Центральные ЭС")+SUMIFS(Февраль!G3:G133, Февраль!C3:C133, "ТП", Февраль!D3:D133, "10", Февраль!#REF!, "Центральные ЭС")+SUMIFS(Февраль!G3:G133, Февраль!C3:C133, "ПС", Февраль!D3:D133, "6", Февраль!#REF!, "Центральные ЭС")+SUMIFS(Февраль!G3:G133, Февраль!C3:C133, "ПС", Февраль!D3:D133, "10", Февраль!#REF!, "Центральные ЭС")+SUMIFS(Февраль!G3:G133, Февраль!C3:C133, "РП", Февраль!D3:D133, "6", Февраль!#REF!, "Центральные ЭС")+SUMIFS(Февраль!G3:G133, Февраль!C3:C133, "РП", Февраль!D3:D133, "10", Февраль!#REF!, "Центральные ЭС")</f>
        <v>#REF!</v>
      </c>
      <c r="J63" s="210">
        <v>0</v>
      </c>
      <c r="K63" s="212" t="e">
        <f>COUNTIFS(Март!C6:C155, "ТП", Март!D6:D155, "6", Март!#REF!, "Центральные ЭС")+COUNTIFS(Март!C6:C155, "ТП", Март!D6:D155, "10", Март!#REF!, "Центральные ЭС")+COUNTIFS(Март!C6:C155, "ПС", Март!D6:D155, "6", Март!#REF!, "Центральные ЭС")+COUNTIFS(Март!C6:C155, "ПС", Март!D6:D155, "10", Март!#REF!, "Центральные ЭС")</f>
        <v>#REF!</v>
      </c>
      <c r="L63" s="209" t="e">
        <f>SUMIFS(Март!G6:G155, Март!C6:C155, "ТП", Март!D6:D155, "6", Март!#REF!, "Центральные ЭС")+SUMIFS(Март!G6:G155, Март!C6:C155, "ТП", Март!D6:D155, "10", Март!#REF!, "Центральные ЭС")+SUMIFS(Март!G6:G155, Март!C6:C155, "ПС", Март!D6:D155, "6", Март!#REF!, "Центральные ЭС")+SUMIFS(Март!G6:G155, Март!C6:C155, "ПС", Март!D6:D155, "10", Март!#REF!, "Центральные ЭС")</f>
        <v>#REF!</v>
      </c>
      <c r="M63" s="211" t="e">
        <f t="shared" si="28"/>
        <v>#REF!</v>
      </c>
      <c r="N63" s="213" t="e">
        <f t="shared" ref="N63:O65" si="32">E63+H63+K63</f>
        <v>#REF!</v>
      </c>
      <c r="O63" s="209" t="e">
        <f t="shared" si="32"/>
        <v>#REF!</v>
      </c>
      <c r="P63" s="214" t="e">
        <f t="shared" si="29"/>
        <v>#REF!</v>
      </c>
    </row>
    <row r="64" spans="2:16" ht="15.75" customHeight="1" x14ac:dyDescent="0.25">
      <c r="C64" s="362"/>
      <c r="D64" s="207" t="s">
        <v>66</v>
      </c>
      <c r="E64" s="208">
        <v>5</v>
      </c>
      <c r="F64" s="209">
        <v>6.98</v>
      </c>
      <c r="G64" s="210">
        <f>F64/E64</f>
        <v>1.3960000000000001</v>
      </c>
      <c r="H64" s="208">
        <v>1</v>
      </c>
      <c r="I64" s="209">
        <v>1.87</v>
      </c>
      <c r="J64" s="211">
        <f>I64/H64</f>
        <v>1.87</v>
      </c>
      <c r="K64" s="212" t="e">
        <f>COUNTIFS(Март!C6:C155, "ПС", Март!D6:D155, "35", Март!#REF!, "Центральные ЭС")</f>
        <v>#REF!</v>
      </c>
      <c r="L64" s="209" t="e">
        <f>SUMIFS(Март!G6:G155, Март!C6:C155, "ПС", Март!D6:D155, "35", Март!#REF!, "Центральные ЭС")</f>
        <v>#REF!</v>
      </c>
      <c r="M64" s="211">
        <v>0</v>
      </c>
      <c r="N64" s="213" t="e">
        <f t="shared" si="32"/>
        <v>#REF!</v>
      </c>
      <c r="O64" s="209" t="e">
        <f t="shared" si="32"/>
        <v>#REF!</v>
      </c>
      <c r="P64" s="214" t="e">
        <f>O64/N64</f>
        <v>#REF!</v>
      </c>
    </row>
    <row r="65" spans="2:16" ht="18.75" x14ac:dyDescent="0.3">
      <c r="B65" s="215"/>
      <c r="C65" s="362"/>
      <c r="D65" s="207" t="s">
        <v>67</v>
      </c>
      <c r="E65" s="208">
        <v>0</v>
      </c>
      <c r="F65" s="209">
        <v>0</v>
      </c>
      <c r="G65" s="210">
        <v>0</v>
      </c>
      <c r="H65" s="208">
        <v>0</v>
      </c>
      <c r="I65" s="209">
        <v>0</v>
      </c>
      <c r="J65" s="211">
        <v>0</v>
      </c>
      <c r="K65" s="212">
        <v>1</v>
      </c>
      <c r="L65" s="209">
        <v>0.25</v>
      </c>
      <c r="M65" s="211">
        <f>L65/K65</f>
        <v>0.25</v>
      </c>
      <c r="N65" s="213">
        <f t="shared" si="32"/>
        <v>1</v>
      </c>
      <c r="O65" s="209">
        <f t="shared" si="32"/>
        <v>0.25</v>
      </c>
      <c r="P65" s="214">
        <f>O65/N65</f>
        <v>0.25</v>
      </c>
    </row>
    <row r="66" spans="2:16" ht="15.75" thickBot="1" x14ac:dyDescent="0.3">
      <c r="C66" s="363"/>
      <c r="D66" s="216" t="s">
        <v>68</v>
      </c>
      <c r="E66" s="217">
        <v>0</v>
      </c>
      <c r="F66" s="218">
        <v>0</v>
      </c>
      <c r="G66" s="219">
        <v>0</v>
      </c>
      <c r="H66" s="217">
        <v>0</v>
      </c>
      <c r="I66" s="218">
        <v>0</v>
      </c>
      <c r="J66" s="220">
        <v>0</v>
      </c>
      <c r="K66" s="221">
        <v>0</v>
      </c>
      <c r="L66" s="218">
        <v>0</v>
      </c>
      <c r="M66" s="220">
        <v>0</v>
      </c>
      <c r="N66" s="243">
        <v>0</v>
      </c>
      <c r="O66" s="242">
        <v>0</v>
      </c>
      <c r="P66" s="244">
        <v>0</v>
      </c>
    </row>
    <row r="67" spans="2:16" ht="15" customHeight="1" x14ac:dyDescent="0.25">
      <c r="C67" s="364" t="s">
        <v>50</v>
      </c>
      <c r="D67" s="222" t="s">
        <v>59</v>
      </c>
      <c r="E67" s="196" t="e">
        <f>E68+E72</f>
        <v>#REF!</v>
      </c>
      <c r="F67" s="197" t="e">
        <f>F68+F72</f>
        <v>#REF!</v>
      </c>
      <c r="G67" s="198" t="e">
        <f t="shared" ref="G67:G74" si="33">F67/E67</f>
        <v>#REF!</v>
      </c>
      <c r="H67" s="196" t="e">
        <f>H68+H72</f>
        <v>#REF!</v>
      </c>
      <c r="I67" s="197" t="e">
        <f>I68+I72</f>
        <v>#REF!</v>
      </c>
      <c r="J67" s="198" t="e">
        <f t="shared" ref="J67:J74" si="34">I67/H67</f>
        <v>#REF!</v>
      </c>
      <c r="K67" s="196" t="e">
        <f>K68+K72</f>
        <v>#REF!</v>
      </c>
      <c r="L67" s="197" t="e">
        <f>L68+L72</f>
        <v>#REF!</v>
      </c>
      <c r="M67" s="199" t="e">
        <f t="shared" ref="M67:M75" si="35">L67/K67</f>
        <v>#REF!</v>
      </c>
      <c r="N67" s="224" t="e">
        <f>N68+N72</f>
        <v>#REF!</v>
      </c>
      <c r="O67" s="223" t="e">
        <f>O68+O72</f>
        <v>#REF!</v>
      </c>
      <c r="P67" s="225" t="e">
        <f t="shared" ref="P67:P75" si="36">O67/N67</f>
        <v>#REF!</v>
      </c>
    </row>
    <row r="68" spans="2:16" ht="14.25" customHeight="1" x14ac:dyDescent="0.25">
      <c r="C68" s="362"/>
      <c r="D68" s="200" t="s">
        <v>60</v>
      </c>
      <c r="E68" s="201" t="e">
        <f>E69+E70+E71</f>
        <v>#REF!</v>
      </c>
      <c r="F68" s="202" t="e">
        <f>F69+F70+F71</f>
        <v>#REF!</v>
      </c>
      <c r="G68" s="203">
        <v>0</v>
      </c>
      <c r="H68" s="201" t="e">
        <f>H69+H70+H71</f>
        <v>#REF!</v>
      </c>
      <c r="I68" s="202" t="e">
        <f>I69+I70+I71</f>
        <v>#REF!</v>
      </c>
      <c r="J68" s="203" t="e">
        <f>I68/H68</f>
        <v>#REF!</v>
      </c>
      <c r="K68" s="201" t="e">
        <f>K69+K70+K71</f>
        <v>#REF!</v>
      </c>
      <c r="L68" s="202" t="e">
        <f>L69+L70+L71</f>
        <v>#REF!</v>
      </c>
      <c r="M68" s="204">
        <v>0</v>
      </c>
      <c r="N68" s="205" t="e">
        <f>N69+N70+N71</f>
        <v>#REF!</v>
      </c>
      <c r="O68" s="202" t="e">
        <f>O69+O70+O71</f>
        <v>#REF!</v>
      </c>
      <c r="P68" s="206" t="e">
        <f>O68/N68</f>
        <v>#REF!</v>
      </c>
    </row>
    <row r="69" spans="2:16" x14ac:dyDescent="0.25">
      <c r="C69" s="362"/>
      <c r="D69" s="207" t="s">
        <v>61</v>
      </c>
      <c r="E69" s="208" t="e">
        <f>COUNTIFS(Январь!C3:C149, "ВЛ", Январь!D3:D149, "0,4", Январь!#REF!, "Южные ЭС")</f>
        <v>#REF!</v>
      </c>
      <c r="F69" s="209" t="e">
        <f>SUMIFS(Январь!G3:G149, Январь!C3:C149, "ВЛ", Январь!D3:D149, "0,4", Январь!#REF!, "Южные ЭС")</f>
        <v>#REF!</v>
      </c>
      <c r="G69" s="210">
        <v>0</v>
      </c>
      <c r="H69" s="208" t="e">
        <f>COUNTIFS(Февраль!C3:C133, "ВЛ", Февраль!D3:D133, "0,4", Февраль!#REF!, "Южные ЭС")</f>
        <v>#REF!</v>
      </c>
      <c r="I69" s="209" t="e">
        <f>SUMIFS(Февраль!G3:G133, Февраль!C3:C133, "ВЛ", Февраль!D3:D133, "0,4", Февраль!#REF!, "Южные ЭС")</f>
        <v>#REF!</v>
      </c>
      <c r="J69" s="210" t="e">
        <f>I69/H69</f>
        <v>#REF!</v>
      </c>
      <c r="K69" s="212" t="e">
        <f>COUNTIFS(Март!C6:C155, "ВЛ", Март!D6:D155, "0,4", Март!#REF!, "Южные ЭС")</f>
        <v>#REF!</v>
      </c>
      <c r="L69" s="209" t="e">
        <f>SUMIFS(Март!G6:G155, Март!C6:C155, "ВЛ", Март!D6:D155, "0,4", Март!#REF!, "Южные ЭС")</f>
        <v>#REF!</v>
      </c>
      <c r="M69" s="211">
        <v>0</v>
      </c>
      <c r="N69" s="213" t="e">
        <f t="shared" ref="N69:O71" si="37">E69+H69+K69</f>
        <v>#REF!</v>
      </c>
      <c r="O69" s="209" t="e">
        <f t="shared" si="37"/>
        <v>#REF!</v>
      </c>
      <c r="P69" s="214" t="e">
        <f>O69/N69</f>
        <v>#REF!</v>
      </c>
    </row>
    <row r="70" spans="2:16" x14ac:dyDescent="0.25">
      <c r="C70" s="362"/>
      <c r="D70" s="207" t="s">
        <v>62</v>
      </c>
      <c r="E70" s="208" t="e">
        <f>COUNTIFS(Январь!C3:C149, "КЛ", Январь!D3:D149, "0,4", Январь!#REF!, "Южные ЭС")</f>
        <v>#REF!</v>
      </c>
      <c r="F70" s="209" t="e">
        <f>SUMIFS(Январь!G3:G149, Январь!C3:C149, "КЛ", Январь!D3:D149, "0,4", Январь!#REF!, "Южные ЭС")</f>
        <v>#REF!</v>
      </c>
      <c r="G70" s="210">
        <v>0</v>
      </c>
      <c r="H70" s="208" t="e">
        <f>COUNTIFS(Февраль!C3:C133, "КЛ", Февраль!D3:D133, "0,4", Февраль!#REF!, "Южные ЭС")</f>
        <v>#REF!</v>
      </c>
      <c r="I70" s="209" t="e">
        <f>SUMIFS(Февраль!G3:G133, Февраль!C3:C133, "КЛ", Февраль!D3:D133, "0,4", Февраль!#REF!, "Южные ЭС")</f>
        <v>#REF!</v>
      </c>
      <c r="J70" s="210">
        <v>0</v>
      </c>
      <c r="K70" s="212" t="e">
        <f>COUNTIFS(Март!C6:C155, "КЛ", Март!D6:D155, "0,4", Март!#REF!, "Южные ЭС")</f>
        <v>#REF!</v>
      </c>
      <c r="L70" s="209" t="e">
        <f>SUMIFS(Март!G6:G155, Март!C6:C155, "КЛ", Март!D6:D155, "0,4", Март!#REF!, "Южные ЭС")</f>
        <v>#REF!</v>
      </c>
      <c r="M70" s="211">
        <v>0</v>
      </c>
      <c r="N70" s="213" t="e">
        <f t="shared" si="37"/>
        <v>#REF!</v>
      </c>
      <c r="O70" s="209" t="e">
        <f t="shared" si="37"/>
        <v>#REF!</v>
      </c>
      <c r="P70" s="214">
        <v>0</v>
      </c>
    </row>
    <row r="71" spans="2:16" x14ac:dyDescent="0.25">
      <c r="C71" s="362"/>
      <c r="D71" s="207" t="s">
        <v>63</v>
      </c>
      <c r="E71" s="208" t="e">
        <f>COUNTIFS(Январь!C3:C149, "ТП", Январь!D3:D149, "0,4", Январь!#REF!, "Южные ЭС")</f>
        <v>#REF!</v>
      </c>
      <c r="F71" s="209" t="e">
        <f>SUMIFS(Январь!G3:G149, Январь!C3:C149, "ТП", Январь!D3:D149, "0,4", Январь!#REF!, "Южные ЭС")</f>
        <v>#REF!</v>
      </c>
      <c r="G71" s="210">
        <v>0</v>
      </c>
      <c r="H71" s="208" t="e">
        <f>COUNTIFS(Февраль!C3:C133, "ТП", Февраль!D3:D133, "0,4", Февраль!#REF!, "Южные ЭС")</f>
        <v>#REF!</v>
      </c>
      <c r="I71" s="209" t="e">
        <f>SUMIFS(Февраль!G3:G133, Февраль!C3:C133, "ТП", Февраль!D3:D133, "0,4", Февраль!#REF!, "Южные ЭС")</f>
        <v>#REF!</v>
      </c>
      <c r="J71" s="210">
        <v>0</v>
      </c>
      <c r="K71" s="212" t="e">
        <f>COUNTIFS(Март!C6:C155, "ТП", Март!D6:D155, "0,4", Март!#REF!, "Южные ЭС")</f>
        <v>#REF!</v>
      </c>
      <c r="L71" s="209" t="e">
        <f>SUMIFS(Март!G6:G155, Март!C6:C155, "ТП", Март!D6:D155, "0,4", Март!#REF!, "Южные ЭС")</f>
        <v>#REF!</v>
      </c>
      <c r="M71" s="211">
        <v>0</v>
      </c>
      <c r="N71" s="213" t="e">
        <f t="shared" si="37"/>
        <v>#REF!</v>
      </c>
      <c r="O71" s="209" t="e">
        <f t="shared" si="37"/>
        <v>#REF!</v>
      </c>
      <c r="P71" s="214">
        <v>0</v>
      </c>
    </row>
    <row r="72" spans="2:16" x14ac:dyDescent="0.25">
      <c r="C72" s="362"/>
      <c r="D72" s="200" t="s">
        <v>64</v>
      </c>
      <c r="E72" s="201" t="e">
        <f>E73+E74+E75+E76+E77+E78</f>
        <v>#REF!</v>
      </c>
      <c r="F72" s="202" t="e">
        <f>F73+F74+F75+F76+F77+F78</f>
        <v>#REF!</v>
      </c>
      <c r="G72" s="203" t="e">
        <f t="shared" si="33"/>
        <v>#REF!</v>
      </c>
      <c r="H72" s="201" t="e">
        <f>H73+H74+H75+H76+H77+H78</f>
        <v>#REF!</v>
      </c>
      <c r="I72" s="202" t="e">
        <f>I73+I74+I75+I76+I77+I78</f>
        <v>#REF!</v>
      </c>
      <c r="J72" s="203" t="e">
        <f t="shared" si="34"/>
        <v>#REF!</v>
      </c>
      <c r="K72" s="201" t="e">
        <f>K73+K74+K75+K76+K77+K78</f>
        <v>#REF!</v>
      </c>
      <c r="L72" s="202" t="e">
        <f>L73+L74+L75+L76+L77+L78</f>
        <v>#REF!</v>
      </c>
      <c r="M72" s="204" t="e">
        <f t="shared" si="35"/>
        <v>#REF!</v>
      </c>
      <c r="N72" s="205" t="e">
        <f>N73+N74+N75+N76+N77+N78</f>
        <v>#REF!</v>
      </c>
      <c r="O72" s="202" t="e">
        <f>O73+O74+O75+O76+O77+O78</f>
        <v>#REF!</v>
      </c>
      <c r="P72" s="206" t="e">
        <f t="shared" si="36"/>
        <v>#REF!</v>
      </c>
    </row>
    <row r="73" spans="2:16" ht="15.75" customHeight="1" x14ac:dyDescent="0.25">
      <c r="C73" s="362"/>
      <c r="D73" s="207" t="s">
        <v>61</v>
      </c>
      <c r="E73" s="208" t="e">
        <f>COUNTIFS(Январь!C3:C149, "ВЛ", Январь!D3:D149, "6", Январь!#REF!, "Южные ЭС")+COUNTIFS(Январь!C3:C149, "ВЛ", Январь!D3:D149, "10", Январь!#REF!, "Южные ЭС")+COUNTIFS(Январь!C3:C149, "ВЛ", Январь!D3:D149, "35", Январь!#REF!, "Южные ЭС")+COUNTIFS(Январь!C3:C149, "ВЛ", Январь!D3:D149, "110", Январь!#REF!, "Южные ЭС")</f>
        <v>#REF!</v>
      </c>
      <c r="F73" s="209" t="e">
        <f>SUMIFS(Январь!G3:G149, Январь!C3:C149, "ВЛ", Январь!D3:D149, "6", Январь!#REF!, "Южные ЭС")+SUMIFS(Январь!G3:G149, Январь!C3:C149, "ВЛ", Январь!D3:D149, "10", Январь!#REF!, "Южные ЭС")+SUMIFS(Январь!G3:G149, Январь!C3:C149, "ВЛ", Январь!D3:D149, "35", Январь!#REF!, "Южные ЭС")+SUMIFS(Январь!G3:G149, Январь!C3:C149, "ВЛ", Январь!D3:D149, "110", Январь!#REF!, "Южные ЭС")</f>
        <v>#REF!</v>
      </c>
      <c r="G73" s="210" t="e">
        <f>F73/E73</f>
        <v>#REF!</v>
      </c>
      <c r="H73" s="208" t="e">
        <f>COUNTIFS(Февраль!C3:C133, "ВЛ", Февраль!D3:D133, "6", Февраль!#REF!, "Южные ЭС")+COUNTIFS(Февраль!C3:C133, "ВЛ", Февраль!D3:D133, "10", Февраль!#REF!, "Южные ЭС")+COUNTIFS(Февраль!C3:C133, "ВЛ", Февраль!D3:D133, "35", Февраль!#REF!, "Южные ЭС")+COUNTIFS(Февраль!C3:C133, "ВЛ", Февраль!D3:D133, "110", Февраль!#REF!, "Южные ЭС")</f>
        <v>#REF!</v>
      </c>
      <c r="I73" s="209" t="e">
        <f>SUMIFS(Февраль!G3:G133, Февраль!C3:C133, "ВЛ", Февраль!D3:D133, "6", Февраль!#REF!, "Южные ЭС")+SUMIFS(Февраль!G3:G133, Февраль!C3:C133, "ВЛ", Февраль!D3:D133, "10", Февраль!#REF!, "Южные ЭС")+SUMIFS(Февраль!G3:G133, Февраль!C3:C133, "ВЛ", Февраль!D3:D133, "35", Февраль!#REF!, "Южные ЭС")+SUMIFS(Февраль!G3:G133, Февраль!C3:C133, "ВЛ", Февраль!D3:D133, "110", Февраль!#REF!, "Южные ЭС")</f>
        <v>#REF!</v>
      </c>
      <c r="J73" s="210" t="e">
        <f t="shared" si="34"/>
        <v>#REF!</v>
      </c>
      <c r="K73" s="212" t="e">
        <f>COUNTIFS(Март!C6:C155, "ВЛ", Март!D6:D155, "6", Март!#REF!, "Южные ЭС")+COUNTIFS(Март!C6:C155, "ВЛ", Март!D6:D155, "10", Март!#REF!, "Южные ЭС")+COUNTIFS(Март!C6:C155, "ВЛ", Март!D6:D155, "35", Март!#REF!, "Южные ЭС")+COUNTIFS(Март!C6:C155, "ВЛ", Март!D6:D155, "110", Март!#REF!, "Южные ЭС")</f>
        <v>#REF!</v>
      </c>
      <c r="L73" s="209" t="e">
        <f>SUMIFS(Март!G6:G155, Март!C6:C155, "ВЛ", Март!D6:D155, "6", Март!#REF!, "Южные ЭС")+SUMIFS(Март!G6:G155, Март!C6:C155, "ВЛ", Март!D6:D155, "10", Март!#REF!, "Южные ЭС")+SUMIFS(Март!G6:G155, Март!C6:C155, "ВЛ", Март!D6:D155, "35", Март!#REF!, "Южные ЭС")+SUMIFS(Март!G6:G155, Март!C6:C155, "ВЛ", Март!D6:D155, "110", Март!#REF!, "Южные ЭС")</f>
        <v>#REF!</v>
      </c>
      <c r="M73" s="211" t="e">
        <f t="shared" si="35"/>
        <v>#REF!</v>
      </c>
      <c r="N73" s="213" t="e">
        <f t="shared" ref="N73:O75" si="38">E73+H73+K73</f>
        <v>#REF!</v>
      </c>
      <c r="O73" s="209" t="e">
        <f t="shared" si="38"/>
        <v>#REF!</v>
      </c>
      <c r="P73" s="214" t="e">
        <f t="shared" si="36"/>
        <v>#REF!</v>
      </c>
    </row>
    <row r="74" spans="2:16" x14ac:dyDescent="0.25">
      <c r="C74" s="362"/>
      <c r="D74" s="207" t="s">
        <v>62</v>
      </c>
      <c r="E74" s="208" t="e">
        <f>COUNTIFS(Январь!C3:C149, "КЛ", Январь!D3:D149, "6", Январь!#REF!, "Южные ЭС")+COUNTIFS(Январь!C3:C149, "КЛ", Январь!D3:D149, "10", Январь!#REF!, "Южные ЭС")+COUNTIFS(Январь!C3:C149, "КЛ", Январь!D3:D149, "35", Январь!#REF!, "Южные ЭС")+COUNTIFS(Январь!C3:C149, "КЛ", Январь!D3:D149, "110", Январь!#REF!, "Южные ЭС")</f>
        <v>#REF!</v>
      </c>
      <c r="F74" s="209" t="e">
        <f>SUMIFS(Январь!G3:G149, Январь!C3:C149, "КЛ", Январь!D3:D149, "6", Январь!#REF!, "Южные ЭС")+SUMIFS(Январь!G3:G149, Январь!C3:C149, "КЛ", Январь!D3:D149, "10", Январь!#REF!, "Южные ЭС")+SUMIFS(Январь!G3:G149, Январь!C3:C149, "КЛ", Январь!D3:D149, "35", Январь!#REF!, "Южные ЭС")+SUMIFS(Январь!G3:G149, Январь!C3:C149, "КЛ", Январь!D3:D149, "110", Январь!#REF!, "Южные ЭС")</f>
        <v>#REF!</v>
      </c>
      <c r="G74" s="210" t="e">
        <f t="shared" si="33"/>
        <v>#REF!</v>
      </c>
      <c r="H74" s="208" t="e">
        <f>COUNTIFS(Февраль!C3:C133, "КЛ", Февраль!D3:D133, "6", Февраль!#REF!, "Южные ЭС")+COUNTIFS(Февраль!C3:C133, "КЛ", Февраль!D3:D133, "10", Февраль!#REF!, "Южные ЭС")+COUNTIFS(Февраль!C3:C133, "КЛ", Февраль!D3:D133, "35", Февраль!#REF!, "Южные ЭС")+COUNTIFS(Февраль!C3:C133, "КЛ", Февраль!D3:D133, "110", Февраль!#REF!, "Южные ЭС")</f>
        <v>#REF!</v>
      </c>
      <c r="I74" s="209" t="e">
        <f>SUMIFS(Февраль!G3:G133, Февраль!C3:C133, "КЛ", Февраль!D3:D133, "6", Февраль!#REF!, "Южные ЭС")+SUMIFS(Февраль!G3:G133, Февраль!C3:C133, "КЛ", Февраль!D3:D133, "10", Февраль!#REF!, "Южные ЭС")+SUMIFS(Февраль!G3:G133, Февраль!C3:C133, "КЛ", Февраль!D3:D133, "35", Февраль!#REF!, "Южные ЭС")+SUMIFS(Февраль!G3:G133, Февраль!C3:C133, "КЛ", Февраль!D3:D133, "110", Февраль!#REF!, "Южные ЭС")</f>
        <v>#REF!</v>
      </c>
      <c r="J74" s="210" t="e">
        <f t="shared" si="34"/>
        <v>#REF!</v>
      </c>
      <c r="K74" s="212" t="e">
        <f>COUNTIFS(Март!C6:C155, "КЛ", Март!D6:D155, "6", Март!#REF!, "Южные ЭС")+COUNTIFS(Март!C6:C155, "КЛ", Март!D6:D155, "10", Март!#REF!, "Южные ЭС")+COUNTIFS(Март!C6:C155, "КЛ", Март!D6:D155, "35", Март!#REF!, "Южные ЭС")+COUNTIFS(Март!C6:C155, "КЛ", Март!D6:D155, "110", Март!#REF!, "Южные ЭС")</f>
        <v>#REF!</v>
      </c>
      <c r="L74" s="209" t="e">
        <f>SUMIFS(Март!G6:G155, Март!C6:C155, "КЛ", Март!D6:D155, "6", Март!#REF!, "Южные ЭС")+SUMIFS(Март!G6:G155, Март!C6:C155, "КЛ", Март!D6:D155, "10", Март!#REF!, "Южные ЭС")+SUMIFS(Март!G6:G155, Март!C6:C155, "КЛ", Март!D6:D155, "35", Март!#REF!, "Южные ЭС")+SUMIFS(Март!G6:G155, Март!C6:C155, "КЛ", Март!D6:D155, "110", Март!#REF!, "Южные ЭС")</f>
        <v>#REF!</v>
      </c>
      <c r="M74" s="211" t="e">
        <f t="shared" si="35"/>
        <v>#REF!</v>
      </c>
      <c r="N74" s="213" t="e">
        <f t="shared" si="38"/>
        <v>#REF!</v>
      </c>
      <c r="O74" s="209" t="e">
        <f t="shared" si="38"/>
        <v>#REF!</v>
      </c>
      <c r="P74" s="214" t="e">
        <f t="shared" si="36"/>
        <v>#REF!</v>
      </c>
    </row>
    <row r="75" spans="2:16" x14ac:dyDescent="0.25">
      <c r="C75" s="362"/>
      <c r="D75" s="207" t="s">
        <v>65</v>
      </c>
      <c r="E75" s="208" t="e">
        <f>COUNTIFS(Январь!C3:C149, "ТП", Январь!D3:D149, "6", Январь!#REF!, "Южные ЭС")+COUNTIFS(Январь!C3:C149, "ТП", Январь!D3:D149, "10", Январь!#REF!, "Южные ЭС")+COUNTIFS(Январь!C3:C149, "ПС", Январь!D3:D149, "6", Январь!#REF!, "Южные ЭС")+COUNTIFS(Январь!C3:C149, "ПС", Январь!D3:D149, "10", Январь!#REF!, "Южные ЭС")+COUNTIFS(Январь!C3:C149, "РП", Январь!D3:D149, "6", Январь!#REF!, "Южные ЭС")+COUNTIFS(Январь!C3:C149, "РП", Январь!D3:D149, "10", Январь!#REF!, "Южные ЭС")</f>
        <v>#REF!</v>
      </c>
      <c r="F75" s="209" t="e">
        <f>SUMIFS(Январь!G3:G149, Январь!C3:C149, "ТП", Январь!D3:D149, "6", Январь!#REF!, "Южные ЭС")+SUMIFS(Январь!G3:G149, Январь!C3:C149, "ТП", Январь!D3:D149, "10", Январь!#REF!, "Южные ЭС")+SUMIFS(Январь!G3:G149, Январь!C3:C149, "ПС", Январь!D3:D149, "6", Январь!#REF!, "Южные ЭС")+SUMIFS(Январь!G3:G149, Январь!C3:C149, "ПС", Январь!D3:D149, "10", Январь!#REF!, "Южные ЭС")</f>
        <v>#REF!</v>
      </c>
      <c r="G75" s="210">
        <v>0</v>
      </c>
      <c r="H75" s="208" t="e">
        <f>COUNTIFS(Февраль!C3:C133, "ТП", Февраль!D3:D133, "6", Февраль!#REF!, "Южные ЭС")+COUNTIFS(Февраль!C3:C133, "ТП", Февраль!D3:D133, "10", Февраль!#REF!, "Южные ЭС")+COUNTIFS(Февраль!C3:C133, "ПС", Февраль!D3:D133, "6", Февраль!#REF!, "Южные ЭС")+COUNTIFS(Февраль!C3:C133, "ПС", Февраль!D3:D133, "10", Февраль!#REF!, "Южные ЭС")</f>
        <v>#REF!</v>
      </c>
      <c r="I75" s="209" t="e">
        <f>SUMIFS(Февраль!G3:G133, Февраль!C3:C133, "ТП", Февраль!D3:D133, "6", Февраль!#REF!, "Южные ЭС")+SUMIFS(Февраль!G3:G133, Февраль!C3:C133, "ТП", Февраль!D3:D133, "10", Февраль!#REF!, "Южные ЭС")+SUMIFS(Февраль!G3:G133, Февраль!C3:C133, "ПС", Февраль!D3:D133, "6", Февраль!#REF!, "Южные ЭС")+SUMIFS(Февраль!G3:G133, Февраль!C3:C133, "ПС", Февраль!D3:D133, "10", Февраль!#REF!, "Южные ЭС")</f>
        <v>#REF!</v>
      </c>
      <c r="J75" s="210" t="e">
        <f>I75/H75</f>
        <v>#REF!</v>
      </c>
      <c r="K75" s="212" t="e">
        <f>COUNTIFS(Март!C6:C155, "ТП", Март!D6:D155, "6", Март!#REF!, "Южные ЭС")+COUNTIFS(Март!C6:C155, "ТП", Март!D6:D155, "10", Март!#REF!, "Южные ЭС")+COUNTIFS(Март!C6:C155, "ПС", Март!D6:D155, "6", Март!#REF!, "Южные ЭС")+COUNTIFS(Март!C6:C155, "ПС", Март!D6:D155, "10", Март!#REF!, "Южные ЭС")</f>
        <v>#REF!</v>
      </c>
      <c r="L75" s="209" t="e">
        <f>SUMIFS(Март!G6:G155, Март!C6:C155, "ТП", Март!D6:D155, "6", Март!#REF!, "Южные ЭС")+SUMIFS(Март!G6:G155, Март!C6:C155, "ТП", Март!D6:D155, "10", Март!#REF!, "Южные ЭС")+SUMIFS(Март!G6:G155, Март!C6:C155, "ПС", Март!D6:D155, "6", Март!#REF!, "Южные ЭС")+SUMIFS(Март!G6:G155, Март!C6:C155, "ПС", Март!D6:D155, "10", Март!#REF!, "Южные ЭС")</f>
        <v>#REF!</v>
      </c>
      <c r="M75" s="211" t="e">
        <f t="shared" si="35"/>
        <v>#REF!</v>
      </c>
      <c r="N75" s="213" t="e">
        <f t="shared" si="38"/>
        <v>#REF!</v>
      </c>
      <c r="O75" s="209" t="e">
        <f t="shared" si="38"/>
        <v>#REF!</v>
      </c>
      <c r="P75" s="214" t="e">
        <f t="shared" si="36"/>
        <v>#REF!</v>
      </c>
    </row>
    <row r="76" spans="2:16" x14ac:dyDescent="0.25">
      <c r="C76" s="362"/>
      <c r="D76" s="207" t="s">
        <v>66</v>
      </c>
      <c r="E76" s="208">
        <v>0</v>
      </c>
      <c r="F76" s="209">
        <v>0</v>
      </c>
      <c r="G76" s="210">
        <v>0</v>
      </c>
      <c r="H76" s="208">
        <v>0</v>
      </c>
      <c r="I76" s="209">
        <v>0</v>
      </c>
      <c r="J76" s="211">
        <v>0</v>
      </c>
      <c r="K76" s="212">
        <v>0</v>
      </c>
      <c r="L76" s="209">
        <v>0</v>
      </c>
      <c r="M76" s="211">
        <v>0</v>
      </c>
      <c r="N76" s="213">
        <v>0</v>
      </c>
      <c r="O76" s="209">
        <v>0</v>
      </c>
      <c r="P76" s="214">
        <v>0</v>
      </c>
    </row>
    <row r="77" spans="2:16" ht="18.75" x14ac:dyDescent="0.3">
      <c r="B77" s="215"/>
      <c r="C77" s="362"/>
      <c r="D77" s="207" t="s">
        <v>67</v>
      </c>
      <c r="E77" s="208">
        <v>0</v>
      </c>
      <c r="F77" s="209">
        <v>0</v>
      </c>
      <c r="G77" s="210">
        <v>0</v>
      </c>
      <c r="H77" s="208">
        <v>0</v>
      </c>
      <c r="I77" s="209">
        <v>0</v>
      </c>
      <c r="J77" s="211">
        <v>0</v>
      </c>
      <c r="K77" s="212">
        <v>0</v>
      </c>
      <c r="L77" s="209">
        <v>0</v>
      </c>
      <c r="M77" s="211">
        <v>0</v>
      </c>
      <c r="N77" s="213">
        <v>0</v>
      </c>
      <c r="O77" s="209">
        <v>0</v>
      </c>
      <c r="P77" s="214">
        <v>0</v>
      </c>
    </row>
    <row r="78" spans="2:16" ht="15.75" thickBot="1" x14ac:dyDescent="0.3">
      <c r="C78" s="365"/>
      <c r="D78" s="226" t="s">
        <v>68</v>
      </c>
      <c r="E78" s="227">
        <v>0</v>
      </c>
      <c r="F78" s="228">
        <v>0</v>
      </c>
      <c r="G78" s="229">
        <v>0</v>
      </c>
      <c r="H78" s="227">
        <v>0</v>
      </c>
      <c r="I78" s="228">
        <v>0</v>
      </c>
      <c r="J78" s="230">
        <v>0</v>
      </c>
      <c r="K78" s="231">
        <v>0</v>
      </c>
      <c r="L78" s="228">
        <v>0</v>
      </c>
      <c r="M78" s="230">
        <v>0</v>
      </c>
      <c r="N78" s="232">
        <v>0</v>
      </c>
      <c r="O78" s="228">
        <v>0</v>
      </c>
      <c r="P78" s="233">
        <v>0</v>
      </c>
    </row>
    <row r="79" spans="2:16" ht="15.75" thickTop="1" x14ac:dyDescent="0.25"/>
    <row r="81" spans="3:16" ht="15.75" thickBot="1" x14ac:dyDescent="0.3"/>
    <row r="82" spans="3:16" ht="16.5" thickTop="1" thickBot="1" x14ac:dyDescent="0.3">
      <c r="C82" s="353" t="s">
        <v>3</v>
      </c>
      <c r="D82" s="367" t="s">
        <v>55</v>
      </c>
      <c r="E82" s="357" t="s">
        <v>81</v>
      </c>
      <c r="F82" s="351"/>
      <c r="G82" s="358"/>
      <c r="H82" s="359" t="s">
        <v>82</v>
      </c>
      <c r="I82" s="351"/>
      <c r="J82" s="358"/>
      <c r="K82" s="359" t="s">
        <v>83</v>
      </c>
      <c r="L82" s="351"/>
      <c r="M82" s="360"/>
      <c r="N82" s="350" t="s">
        <v>80</v>
      </c>
      <c r="O82" s="351"/>
      <c r="P82" s="352"/>
    </row>
    <row r="83" spans="3:16" ht="15.75" thickBot="1" x14ac:dyDescent="0.3">
      <c r="C83" s="354"/>
      <c r="D83" s="368"/>
      <c r="E83" s="317" t="s">
        <v>56</v>
      </c>
      <c r="F83" s="318" t="s">
        <v>57</v>
      </c>
      <c r="G83" s="319" t="s">
        <v>58</v>
      </c>
      <c r="H83" s="240" t="s">
        <v>56</v>
      </c>
      <c r="I83" s="191" t="s">
        <v>57</v>
      </c>
      <c r="J83" s="241" t="s">
        <v>58</v>
      </c>
      <c r="K83" s="240" t="s">
        <v>56</v>
      </c>
      <c r="L83" s="191" t="s">
        <v>57</v>
      </c>
      <c r="M83" s="241" t="s">
        <v>58</v>
      </c>
      <c r="N83" s="190" t="s">
        <v>56</v>
      </c>
      <c r="O83" s="191" t="s">
        <v>57</v>
      </c>
      <c r="P83" s="241" t="s">
        <v>58</v>
      </c>
    </row>
    <row r="84" spans="3:16" ht="15.75" thickTop="1" x14ac:dyDescent="0.25">
      <c r="C84" s="366" t="s">
        <v>69</v>
      </c>
      <c r="D84" s="236" t="s">
        <v>59</v>
      </c>
      <c r="E84" s="320" t="e">
        <f>E85+E89</f>
        <v>#REF!</v>
      </c>
      <c r="F84" s="223" t="e">
        <f>F85+F89</f>
        <v>#REF!</v>
      </c>
      <c r="G84" s="321" t="e">
        <f t="shared" ref="G84:G92" si="39">F84/E84</f>
        <v>#REF!</v>
      </c>
      <c r="H84" s="196" t="e">
        <f>H85+H89</f>
        <v>#REF!</v>
      </c>
      <c r="I84" s="197" t="e">
        <f>I85+I89</f>
        <v>#REF!</v>
      </c>
      <c r="J84" s="235" t="e">
        <f t="shared" ref="J84:J93" si="40">I84/H84</f>
        <v>#REF!</v>
      </c>
      <c r="K84" s="234" t="e">
        <f>K85+K89</f>
        <v>#REF!</v>
      </c>
      <c r="L84" s="197" t="e">
        <f>L85+L89</f>
        <v>#REF!</v>
      </c>
      <c r="M84" s="235" t="e">
        <f t="shared" ref="M84:M92" si="41">L84/K84</f>
        <v>#REF!</v>
      </c>
      <c r="N84" s="196" t="e">
        <f>N85+N89</f>
        <v>#REF!</v>
      </c>
      <c r="O84" s="197" t="e">
        <f>O85+O89</f>
        <v>#REF!</v>
      </c>
      <c r="P84" s="235" t="e">
        <f t="shared" ref="P84:P92" si="42">O84/N84</f>
        <v>#REF!</v>
      </c>
    </row>
    <row r="85" spans="3:16" x14ac:dyDescent="0.25">
      <c r="C85" s="362"/>
      <c r="D85" s="237" t="s">
        <v>60</v>
      </c>
      <c r="E85" s="322" t="e">
        <f>E86+E87+E88</f>
        <v>#REF!</v>
      </c>
      <c r="F85" s="202" t="e">
        <f>F86+F87+F88</f>
        <v>#REF!</v>
      </c>
      <c r="G85" s="203" t="e">
        <f t="shared" si="39"/>
        <v>#REF!</v>
      </c>
      <c r="H85" s="201" t="e">
        <f>H86+H87+H88</f>
        <v>#REF!</v>
      </c>
      <c r="I85" s="202" t="e">
        <f>I86+I87+I88</f>
        <v>#REF!</v>
      </c>
      <c r="J85" s="206" t="e">
        <f t="shared" si="40"/>
        <v>#REF!</v>
      </c>
      <c r="K85" s="205" t="e">
        <f>K86+K87+K88</f>
        <v>#REF!</v>
      </c>
      <c r="L85" s="202" t="e">
        <f>L86+L87+L88</f>
        <v>#REF!</v>
      </c>
      <c r="M85" s="206" t="e">
        <f t="shared" si="41"/>
        <v>#REF!</v>
      </c>
      <c r="N85" s="201" t="e">
        <f>N86+N87+N88</f>
        <v>#REF!</v>
      </c>
      <c r="O85" s="202" t="e">
        <f>O86+O87+O88</f>
        <v>#REF!</v>
      </c>
      <c r="P85" s="206" t="e">
        <f t="shared" si="42"/>
        <v>#REF!</v>
      </c>
    </row>
    <row r="86" spans="3:16" x14ac:dyDescent="0.25">
      <c r="C86" s="362"/>
      <c r="D86" s="238" t="s">
        <v>61</v>
      </c>
      <c r="E86" s="212" t="e">
        <f t="shared" ref="E86:F88" si="43">E9+E21+E33+E45+E57+E69</f>
        <v>#REF!</v>
      </c>
      <c r="F86" s="209" t="e">
        <f t="shared" si="43"/>
        <v>#REF!</v>
      </c>
      <c r="G86" s="210" t="e">
        <f t="shared" si="39"/>
        <v>#REF!</v>
      </c>
      <c r="H86" s="208" t="e">
        <f t="shared" ref="H86:I88" si="44">H9+H21+H33+H45+H57+H69</f>
        <v>#REF!</v>
      </c>
      <c r="I86" s="209" t="e">
        <f t="shared" si="44"/>
        <v>#REF!</v>
      </c>
      <c r="J86" s="214" t="e">
        <f t="shared" si="40"/>
        <v>#REF!</v>
      </c>
      <c r="K86" s="213" t="e">
        <f t="shared" ref="K86:L88" si="45">K9+K21+K33+K45+K57+K69</f>
        <v>#REF!</v>
      </c>
      <c r="L86" s="209" t="e">
        <f t="shared" si="45"/>
        <v>#REF!</v>
      </c>
      <c r="M86" s="214" t="e">
        <f t="shared" si="41"/>
        <v>#REF!</v>
      </c>
      <c r="N86" s="208" t="e">
        <f t="shared" ref="N86:O88" si="46">N9+N21+N33+N45+N57+N69</f>
        <v>#REF!</v>
      </c>
      <c r="O86" s="209" t="e">
        <f t="shared" si="46"/>
        <v>#REF!</v>
      </c>
      <c r="P86" s="214" t="e">
        <f t="shared" si="42"/>
        <v>#REF!</v>
      </c>
    </row>
    <row r="87" spans="3:16" x14ac:dyDescent="0.25">
      <c r="C87" s="362"/>
      <c r="D87" s="238" t="s">
        <v>62</v>
      </c>
      <c r="E87" s="212" t="e">
        <f t="shared" si="43"/>
        <v>#REF!</v>
      </c>
      <c r="F87" s="209" t="e">
        <f t="shared" si="43"/>
        <v>#REF!</v>
      </c>
      <c r="G87" s="210" t="e">
        <f t="shared" si="39"/>
        <v>#REF!</v>
      </c>
      <c r="H87" s="208" t="e">
        <f t="shared" si="44"/>
        <v>#REF!</v>
      </c>
      <c r="I87" s="209" t="e">
        <f t="shared" si="44"/>
        <v>#REF!</v>
      </c>
      <c r="J87" s="214" t="e">
        <f t="shared" si="40"/>
        <v>#REF!</v>
      </c>
      <c r="K87" s="213" t="e">
        <f t="shared" si="45"/>
        <v>#REF!</v>
      </c>
      <c r="L87" s="209" t="e">
        <f t="shared" si="45"/>
        <v>#REF!</v>
      </c>
      <c r="M87" s="214" t="e">
        <f t="shared" si="41"/>
        <v>#REF!</v>
      </c>
      <c r="N87" s="208" t="e">
        <f t="shared" si="46"/>
        <v>#REF!</v>
      </c>
      <c r="O87" s="209" t="e">
        <f t="shared" si="46"/>
        <v>#REF!</v>
      </c>
      <c r="P87" s="214" t="e">
        <f t="shared" si="42"/>
        <v>#REF!</v>
      </c>
    </row>
    <row r="88" spans="3:16" x14ac:dyDescent="0.25">
      <c r="C88" s="362"/>
      <c r="D88" s="238" t="s">
        <v>63</v>
      </c>
      <c r="E88" s="212" t="e">
        <f t="shared" si="43"/>
        <v>#REF!</v>
      </c>
      <c r="F88" s="209" t="e">
        <f t="shared" si="43"/>
        <v>#REF!</v>
      </c>
      <c r="G88" s="210" t="e">
        <f t="shared" si="39"/>
        <v>#REF!</v>
      </c>
      <c r="H88" s="208" t="e">
        <f t="shared" si="44"/>
        <v>#REF!</v>
      </c>
      <c r="I88" s="209" t="e">
        <f t="shared" si="44"/>
        <v>#REF!</v>
      </c>
      <c r="J88" s="214" t="e">
        <f t="shared" si="40"/>
        <v>#REF!</v>
      </c>
      <c r="K88" s="213" t="e">
        <f t="shared" si="45"/>
        <v>#REF!</v>
      </c>
      <c r="L88" s="209" t="e">
        <f t="shared" si="45"/>
        <v>#REF!</v>
      </c>
      <c r="M88" s="214">
        <v>0</v>
      </c>
      <c r="N88" s="208" t="e">
        <f t="shared" si="46"/>
        <v>#REF!</v>
      </c>
      <c r="O88" s="209" t="e">
        <f t="shared" si="46"/>
        <v>#REF!</v>
      </c>
      <c r="P88" s="214" t="e">
        <f t="shared" si="42"/>
        <v>#REF!</v>
      </c>
    </row>
    <row r="89" spans="3:16" x14ac:dyDescent="0.25">
      <c r="C89" s="362"/>
      <c r="D89" s="237" t="s">
        <v>64</v>
      </c>
      <c r="E89" s="322" t="e">
        <f>E90+E91+E92+E93+E94+E95</f>
        <v>#REF!</v>
      </c>
      <c r="F89" s="202" t="e">
        <f>F90+F91+F92+F93+F94+F95</f>
        <v>#REF!</v>
      </c>
      <c r="G89" s="203" t="e">
        <f t="shared" si="39"/>
        <v>#REF!</v>
      </c>
      <c r="H89" s="201" t="e">
        <f>H90+H91+H92+H93+H94+H95</f>
        <v>#REF!</v>
      </c>
      <c r="I89" s="202" t="e">
        <f>I90+I91+I92+I93+I94+I95</f>
        <v>#REF!</v>
      </c>
      <c r="J89" s="206" t="e">
        <f t="shared" si="40"/>
        <v>#REF!</v>
      </c>
      <c r="K89" s="205" t="e">
        <f>K90+K91+K92+K93+K94+K95</f>
        <v>#REF!</v>
      </c>
      <c r="L89" s="202" t="e">
        <f>L90+L91+L92+L93+L94+L95</f>
        <v>#REF!</v>
      </c>
      <c r="M89" s="206" t="e">
        <f t="shared" si="41"/>
        <v>#REF!</v>
      </c>
      <c r="N89" s="201" t="e">
        <f>N90+N91+N92+N93+N94+N95</f>
        <v>#REF!</v>
      </c>
      <c r="O89" s="202" t="e">
        <f>O90+O91+O92+O93+O94+O95</f>
        <v>#REF!</v>
      </c>
      <c r="P89" s="206" t="e">
        <f t="shared" si="42"/>
        <v>#REF!</v>
      </c>
    </row>
    <row r="90" spans="3:16" x14ac:dyDescent="0.25">
      <c r="C90" s="362"/>
      <c r="D90" s="238" t="s">
        <v>61</v>
      </c>
      <c r="E90" s="212" t="e">
        <f t="shared" ref="E90:F92" si="47">E13+E25+E37+E49+E61+E73</f>
        <v>#REF!</v>
      </c>
      <c r="F90" s="209" t="e">
        <f t="shared" si="47"/>
        <v>#REF!</v>
      </c>
      <c r="G90" s="210" t="e">
        <f t="shared" si="39"/>
        <v>#REF!</v>
      </c>
      <c r="H90" s="208" t="e">
        <f t="shared" ref="H90:I93" si="48">H13+H25+H37+H49+H61+H73</f>
        <v>#REF!</v>
      </c>
      <c r="I90" s="209" t="e">
        <f t="shared" si="48"/>
        <v>#REF!</v>
      </c>
      <c r="J90" s="214" t="e">
        <f t="shared" si="40"/>
        <v>#REF!</v>
      </c>
      <c r="K90" s="213" t="e">
        <f t="shared" ref="K90:L94" si="49">K13+K25+K37+K49+K61+K73</f>
        <v>#REF!</v>
      </c>
      <c r="L90" s="209" t="e">
        <f t="shared" si="49"/>
        <v>#REF!</v>
      </c>
      <c r="M90" s="214" t="e">
        <f t="shared" si="41"/>
        <v>#REF!</v>
      </c>
      <c r="N90" s="208" t="e">
        <f t="shared" ref="N90:O94" si="50">N13+N25+N37+N49+N61+N73</f>
        <v>#REF!</v>
      </c>
      <c r="O90" s="209" t="e">
        <f t="shared" si="50"/>
        <v>#REF!</v>
      </c>
      <c r="P90" s="214" t="e">
        <f t="shared" si="42"/>
        <v>#REF!</v>
      </c>
    </row>
    <row r="91" spans="3:16" x14ac:dyDescent="0.25">
      <c r="C91" s="362"/>
      <c r="D91" s="238" t="s">
        <v>62</v>
      </c>
      <c r="E91" s="212" t="e">
        <f t="shared" si="47"/>
        <v>#REF!</v>
      </c>
      <c r="F91" s="209" t="e">
        <f t="shared" si="47"/>
        <v>#REF!</v>
      </c>
      <c r="G91" s="210" t="e">
        <f t="shared" si="39"/>
        <v>#REF!</v>
      </c>
      <c r="H91" s="208" t="e">
        <f t="shared" si="48"/>
        <v>#REF!</v>
      </c>
      <c r="I91" s="209" t="e">
        <f t="shared" si="48"/>
        <v>#REF!</v>
      </c>
      <c r="J91" s="214" t="e">
        <f t="shared" si="40"/>
        <v>#REF!</v>
      </c>
      <c r="K91" s="213" t="e">
        <f t="shared" si="49"/>
        <v>#REF!</v>
      </c>
      <c r="L91" s="209" t="e">
        <f t="shared" si="49"/>
        <v>#REF!</v>
      </c>
      <c r="M91" s="214" t="e">
        <f t="shared" si="41"/>
        <v>#REF!</v>
      </c>
      <c r="N91" s="208" t="e">
        <f t="shared" si="50"/>
        <v>#REF!</v>
      </c>
      <c r="O91" s="209" t="e">
        <f t="shared" si="50"/>
        <v>#REF!</v>
      </c>
      <c r="P91" s="214" t="e">
        <f t="shared" si="42"/>
        <v>#REF!</v>
      </c>
    </row>
    <row r="92" spans="3:16" x14ac:dyDescent="0.25">
      <c r="C92" s="362"/>
      <c r="D92" s="238" t="s">
        <v>65</v>
      </c>
      <c r="E92" s="212" t="e">
        <f>E15+E27+E39+E51+E63+E75</f>
        <v>#REF!</v>
      </c>
      <c r="F92" s="209" t="e">
        <f t="shared" si="47"/>
        <v>#REF!</v>
      </c>
      <c r="G92" s="210" t="e">
        <f t="shared" si="39"/>
        <v>#REF!</v>
      </c>
      <c r="H92" s="208" t="e">
        <f>H15+H27+H39+H51+H63+H75</f>
        <v>#REF!</v>
      </c>
      <c r="I92" s="209" t="e">
        <f t="shared" si="48"/>
        <v>#REF!</v>
      </c>
      <c r="J92" s="214" t="e">
        <f t="shared" si="40"/>
        <v>#REF!</v>
      </c>
      <c r="K92" s="213" t="e">
        <f t="shared" si="49"/>
        <v>#REF!</v>
      </c>
      <c r="L92" s="209" t="e">
        <f t="shared" si="49"/>
        <v>#REF!</v>
      </c>
      <c r="M92" s="214" t="e">
        <f t="shared" si="41"/>
        <v>#REF!</v>
      </c>
      <c r="N92" s="208" t="e">
        <f t="shared" si="50"/>
        <v>#REF!</v>
      </c>
      <c r="O92" s="209" t="e">
        <f t="shared" si="50"/>
        <v>#REF!</v>
      </c>
      <c r="P92" s="214" t="e">
        <f t="shared" si="42"/>
        <v>#REF!</v>
      </c>
    </row>
    <row r="93" spans="3:16" x14ac:dyDescent="0.25">
      <c r="C93" s="362"/>
      <c r="D93" s="238" t="s">
        <v>66</v>
      </c>
      <c r="E93" s="212">
        <f t="shared" ref="E93:F94" si="51">E16+E28+E40+E52+E64+E76</f>
        <v>6</v>
      </c>
      <c r="F93" s="209">
        <f t="shared" si="51"/>
        <v>8.3500000000000014</v>
      </c>
      <c r="G93" s="210">
        <f>F93/E93</f>
        <v>1.3916666666666668</v>
      </c>
      <c r="H93" s="208">
        <f>H16+H28+H40+H52+H64+H76</f>
        <v>1</v>
      </c>
      <c r="I93" s="209">
        <f t="shared" si="48"/>
        <v>1.87</v>
      </c>
      <c r="J93" s="214">
        <f t="shared" si="40"/>
        <v>1.87</v>
      </c>
      <c r="K93" s="213" t="e">
        <f t="shared" si="49"/>
        <v>#REF!</v>
      </c>
      <c r="L93" s="209" t="e">
        <f t="shared" si="49"/>
        <v>#REF!</v>
      </c>
      <c r="M93" s="214">
        <v>0</v>
      </c>
      <c r="N93" s="208" t="e">
        <f t="shared" si="50"/>
        <v>#REF!</v>
      </c>
      <c r="O93" s="209" t="e">
        <f t="shared" si="50"/>
        <v>#REF!</v>
      </c>
      <c r="P93" s="214" t="e">
        <f>O93/N93</f>
        <v>#REF!</v>
      </c>
    </row>
    <row r="94" spans="3:16" x14ac:dyDescent="0.25">
      <c r="C94" s="362"/>
      <c r="D94" s="238" t="s">
        <v>67</v>
      </c>
      <c r="E94" s="212">
        <f t="shared" si="51"/>
        <v>0</v>
      </c>
      <c r="F94" s="209">
        <v>0</v>
      </c>
      <c r="G94" s="210">
        <v>0</v>
      </c>
      <c r="H94" s="208">
        <v>0</v>
      </c>
      <c r="I94" s="209">
        <v>0</v>
      </c>
      <c r="J94" s="214">
        <v>0</v>
      </c>
      <c r="K94" s="213">
        <f t="shared" si="49"/>
        <v>1</v>
      </c>
      <c r="L94" s="209">
        <f t="shared" si="49"/>
        <v>0.25</v>
      </c>
      <c r="M94" s="214">
        <f>L94/K94</f>
        <v>0.25</v>
      </c>
      <c r="N94" s="208">
        <f t="shared" si="50"/>
        <v>1</v>
      </c>
      <c r="O94" s="209">
        <f t="shared" si="50"/>
        <v>0.25</v>
      </c>
      <c r="P94" s="214">
        <f>O94/N94</f>
        <v>0.25</v>
      </c>
    </row>
    <row r="95" spans="3:16" ht="15.75" thickBot="1" x14ac:dyDescent="0.3">
      <c r="C95" s="365"/>
      <c r="D95" s="239" t="s">
        <v>68</v>
      </c>
      <c r="E95" s="221">
        <v>0</v>
      </c>
      <c r="F95" s="218">
        <v>0</v>
      </c>
      <c r="G95" s="219">
        <v>0</v>
      </c>
      <c r="H95" s="227">
        <v>0</v>
      </c>
      <c r="I95" s="228">
        <v>0</v>
      </c>
      <c r="J95" s="233">
        <v>0</v>
      </c>
      <c r="K95" s="232">
        <v>0</v>
      </c>
      <c r="L95" s="228">
        <v>0</v>
      </c>
      <c r="M95" s="233">
        <v>0</v>
      </c>
      <c r="N95" s="227">
        <v>0</v>
      </c>
      <c r="O95" s="228">
        <v>0</v>
      </c>
      <c r="P95" s="233">
        <v>0</v>
      </c>
    </row>
    <row r="96" spans="3:16" ht="15.75" thickTop="1" x14ac:dyDescent="0.25"/>
  </sheetData>
  <mergeCells count="19">
    <mergeCell ref="N5:P5"/>
    <mergeCell ref="C5:C6"/>
    <mergeCell ref="D5:D6"/>
    <mergeCell ref="E5:G5"/>
    <mergeCell ref="H5:J5"/>
    <mergeCell ref="K5:M5"/>
    <mergeCell ref="K82:M82"/>
    <mergeCell ref="N82:P82"/>
    <mergeCell ref="C7:C18"/>
    <mergeCell ref="C19:C30"/>
    <mergeCell ref="C31:C42"/>
    <mergeCell ref="C43:C54"/>
    <mergeCell ref="C55:C66"/>
    <mergeCell ref="C67:C78"/>
    <mergeCell ref="C84:C95"/>
    <mergeCell ref="C82:C83"/>
    <mergeCell ref="D82:D83"/>
    <mergeCell ref="E82:G82"/>
    <mergeCell ref="H82:J8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view="pageBreakPreview" topLeftCell="A105" zoomScale="60" zoomScaleNormal="85" workbookViewId="0">
      <selection activeCell="H20" sqref="H20"/>
    </sheetView>
  </sheetViews>
  <sheetFormatPr defaultRowHeight="15" x14ac:dyDescent="0.25"/>
  <cols>
    <col min="1" max="1" width="21.85546875" customWidth="1"/>
    <col min="2" max="2" width="15.5703125" customWidth="1"/>
    <col min="4" max="4" width="9.28515625" customWidth="1"/>
    <col min="5" max="5" width="15.28515625" bestFit="1" customWidth="1"/>
    <col min="6" max="6" width="15.5703125" customWidth="1"/>
    <col min="7" max="7" width="12.140625" style="139" customWidth="1"/>
    <col min="8" max="8" width="41.140625" customWidth="1"/>
    <col min="9" max="9" width="10.28515625" customWidth="1"/>
    <col min="10" max="10" width="16" customWidth="1"/>
    <col min="11" max="11" width="23.42578125" customWidth="1"/>
    <col min="25" max="25" width="15.28515625" bestFit="1" customWidth="1"/>
  </cols>
  <sheetData>
    <row r="1" spans="1:15" ht="19.5" thickBot="1" x14ac:dyDescent="0.35">
      <c r="B1" s="401" t="s">
        <v>86</v>
      </c>
      <c r="C1" s="401"/>
      <c r="D1" s="401"/>
      <c r="E1" s="401"/>
      <c r="F1" s="401"/>
      <c r="G1" s="401"/>
      <c r="H1" s="401"/>
      <c r="I1" s="401"/>
      <c r="J1" s="401"/>
    </row>
    <row r="2" spans="1:15" ht="143.25" thickTop="1" thickBot="1" x14ac:dyDescent="0.3">
      <c r="A2" s="162" t="s">
        <v>3</v>
      </c>
      <c r="B2" s="163" t="s">
        <v>12</v>
      </c>
      <c r="C2" s="163" t="s">
        <v>0</v>
      </c>
      <c r="D2" s="164" t="s">
        <v>13</v>
      </c>
      <c r="E2" s="164" t="s">
        <v>14</v>
      </c>
      <c r="F2" s="164" t="s">
        <v>15</v>
      </c>
      <c r="G2" s="164" t="s">
        <v>16</v>
      </c>
      <c r="H2" s="164" t="s">
        <v>76</v>
      </c>
      <c r="I2" s="164" t="s">
        <v>38</v>
      </c>
      <c r="J2" s="164" t="s">
        <v>1</v>
      </c>
      <c r="K2" s="165" t="s">
        <v>17</v>
      </c>
      <c r="L2" s="92"/>
      <c r="M2" s="402"/>
      <c r="N2" s="402"/>
      <c r="O2" s="402"/>
    </row>
    <row r="3" spans="1:15" ht="16.5" thickTop="1" thickBot="1" x14ac:dyDescent="0.3">
      <c r="A3" s="384" t="s">
        <v>40</v>
      </c>
      <c r="B3" s="326" t="s">
        <v>20</v>
      </c>
      <c r="C3" s="327" t="s">
        <v>36</v>
      </c>
      <c r="D3" s="327">
        <v>10</v>
      </c>
      <c r="E3" s="328">
        <v>43479.803472222222</v>
      </c>
      <c r="F3" s="328">
        <v>43479.844444444447</v>
      </c>
      <c r="G3" s="329">
        <v>0.9833333333954215</v>
      </c>
      <c r="H3" s="330" t="s">
        <v>91</v>
      </c>
      <c r="I3" s="327">
        <v>0</v>
      </c>
      <c r="J3" s="331" t="s">
        <v>90</v>
      </c>
      <c r="K3" s="332" t="s">
        <v>92</v>
      </c>
    </row>
    <row r="4" spans="1:15" x14ac:dyDescent="0.25">
      <c r="A4" s="385"/>
      <c r="B4" s="393" t="s">
        <v>21</v>
      </c>
      <c r="C4" s="47" t="s">
        <v>36</v>
      </c>
      <c r="D4" s="46">
        <v>10</v>
      </c>
      <c r="E4" s="48">
        <v>43470.02847222222</v>
      </c>
      <c r="F4" s="48">
        <v>43470.043055555558</v>
      </c>
      <c r="G4" s="49">
        <v>0.35000000009313226</v>
      </c>
      <c r="H4" s="289" t="s">
        <v>102</v>
      </c>
      <c r="I4" s="47">
        <v>1</v>
      </c>
      <c r="J4" s="50" t="s">
        <v>97</v>
      </c>
      <c r="K4" s="112" t="s">
        <v>109</v>
      </c>
    </row>
    <row r="5" spans="1:15" x14ac:dyDescent="0.25">
      <c r="A5" s="385"/>
      <c r="B5" s="377"/>
      <c r="C5" s="100" t="s">
        <v>36</v>
      </c>
      <c r="D5" s="161">
        <v>10</v>
      </c>
      <c r="E5" s="101">
        <v>43479.770833333336</v>
      </c>
      <c r="F5" s="101">
        <v>43480.003472222219</v>
      </c>
      <c r="G5" s="102">
        <v>5.5833333331975155</v>
      </c>
      <c r="H5" s="290" t="s">
        <v>102</v>
      </c>
      <c r="I5" s="100">
        <v>1</v>
      </c>
      <c r="J5" s="103" t="s">
        <v>97</v>
      </c>
      <c r="K5" s="104" t="s">
        <v>109</v>
      </c>
    </row>
    <row r="6" spans="1:15" ht="15.75" thickBot="1" x14ac:dyDescent="0.3">
      <c r="A6" s="385"/>
      <c r="B6" s="378"/>
      <c r="C6" s="51" t="s">
        <v>36</v>
      </c>
      <c r="D6" s="253">
        <v>10</v>
      </c>
      <c r="E6" s="52">
        <v>43495.750694444447</v>
      </c>
      <c r="F6" s="52">
        <v>43495.932638888888</v>
      </c>
      <c r="G6" s="53">
        <v>4.3666666665812954</v>
      </c>
      <c r="H6" s="291" t="s">
        <v>112</v>
      </c>
      <c r="I6" s="51">
        <v>1</v>
      </c>
      <c r="J6" s="256" t="s">
        <v>90</v>
      </c>
      <c r="K6" s="257" t="s">
        <v>92</v>
      </c>
    </row>
    <row r="7" spans="1:15" ht="15.75" thickBot="1" x14ac:dyDescent="0.3">
      <c r="A7" s="385"/>
      <c r="B7" s="295" t="s">
        <v>28</v>
      </c>
      <c r="C7" s="288" t="s">
        <v>2</v>
      </c>
      <c r="D7" s="288">
        <v>10</v>
      </c>
      <c r="E7" s="323">
        <v>43474.63958333333</v>
      </c>
      <c r="F7" s="323">
        <v>43474.672222222223</v>
      </c>
      <c r="G7" s="324">
        <v>0.78333333344198763</v>
      </c>
      <c r="H7" s="296" t="s">
        <v>107</v>
      </c>
      <c r="I7" s="288">
        <v>1</v>
      </c>
      <c r="J7" s="325" t="s">
        <v>96</v>
      </c>
      <c r="K7" s="333" t="s">
        <v>108</v>
      </c>
    </row>
    <row r="8" spans="1:15" x14ac:dyDescent="0.25">
      <c r="A8" s="385"/>
      <c r="B8" s="393" t="s">
        <v>29</v>
      </c>
      <c r="C8" s="46" t="s">
        <v>2</v>
      </c>
      <c r="D8" s="46">
        <v>6</v>
      </c>
      <c r="E8" s="45">
        <v>43467.213194444441</v>
      </c>
      <c r="F8" s="45">
        <v>43467.241666666669</v>
      </c>
      <c r="G8" s="44">
        <v>0.6833333334652707</v>
      </c>
      <c r="H8" s="289" t="s">
        <v>111</v>
      </c>
      <c r="I8" s="46">
        <v>1</v>
      </c>
      <c r="J8" s="50" t="s">
        <v>90</v>
      </c>
      <c r="K8" s="63" t="s">
        <v>108</v>
      </c>
    </row>
    <row r="9" spans="1:15" x14ac:dyDescent="0.25">
      <c r="A9" s="385"/>
      <c r="B9" s="377"/>
      <c r="C9" s="161" t="s">
        <v>52</v>
      </c>
      <c r="D9" s="161">
        <v>6</v>
      </c>
      <c r="E9" s="251">
        <v>43474.581250000003</v>
      </c>
      <c r="F9" s="251">
        <v>43474.599305555559</v>
      </c>
      <c r="G9" s="252">
        <v>0.43333333334885538</v>
      </c>
      <c r="H9" s="290" t="s">
        <v>104</v>
      </c>
      <c r="I9" s="161">
        <v>0</v>
      </c>
      <c r="J9" s="269" t="s">
        <v>90</v>
      </c>
      <c r="K9" s="270" t="s">
        <v>92</v>
      </c>
    </row>
    <row r="10" spans="1:15" x14ac:dyDescent="0.25">
      <c r="A10" s="385"/>
      <c r="B10" s="377"/>
      <c r="C10" s="161" t="s">
        <v>2</v>
      </c>
      <c r="D10" s="161">
        <v>6</v>
      </c>
      <c r="E10" s="251">
        <v>43480.00277777778</v>
      </c>
      <c r="F10" s="251">
        <v>43480.053472222222</v>
      </c>
      <c r="G10" s="252">
        <v>1.21666666661622</v>
      </c>
      <c r="H10" s="290" t="s">
        <v>104</v>
      </c>
      <c r="I10" s="161">
        <v>0</v>
      </c>
      <c r="J10" s="269" t="s">
        <v>90</v>
      </c>
      <c r="K10" s="270" t="s">
        <v>92</v>
      </c>
    </row>
    <row r="11" spans="1:15" x14ac:dyDescent="0.25">
      <c r="A11" s="385"/>
      <c r="B11" s="377"/>
      <c r="C11" s="161" t="s">
        <v>2</v>
      </c>
      <c r="D11" s="161">
        <v>10</v>
      </c>
      <c r="E11" s="251">
        <v>43481.746527777781</v>
      </c>
      <c r="F11" s="251">
        <v>43481.829861111109</v>
      </c>
      <c r="G11" s="252">
        <v>1.9999999998835847</v>
      </c>
      <c r="H11" s="290" t="s">
        <v>91</v>
      </c>
      <c r="I11" s="100">
        <v>0</v>
      </c>
      <c r="J11" s="269" t="s">
        <v>90</v>
      </c>
      <c r="K11" s="270" t="s">
        <v>92</v>
      </c>
    </row>
    <row r="12" spans="1:15" x14ac:dyDescent="0.25">
      <c r="A12" s="385"/>
      <c r="B12" s="377"/>
      <c r="C12" s="161" t="s">
        <v>2</v>
      </c>
      <c r="D12" s="161">
        <v>6</v>
      </c>
      <c r="E12" s="251">
        <v>43485.4375</v>
      </c>
      <c r="F12" s="251">
        <v>43485.707638888889</v>
      </c>
      <c r="G12" s="252">
        <v>6.4833333333372138</v>
      </c>
      <c r="H12" s="290" t="s">
        <v>107</v>
      </c>
      <c r="I12" s="161">
        <v>1</v>
      </c>
      <c r="J12" s="269" t="s">
        <v>96</v>
      </c>
      <c r="K12" s="270" t="s">
        <v>108</v>
      </c>
    </row>
    <row r="13" spans="1:15" x14ac:dyDescent="0.25">
      <c r="A13" s="385"/>
      <c r="B13" s="377"/>
      <c r="C13" s="161" t="s">
        <v>2</v>
      </c>
      <c r="D13" s="161">
        <v>6</v>
      </c>
      <c r="E13" s="251">
        <v>43485.707638888889</v>
      </c>
      <c r="F13" s="251">
        <v>43486.650694444441</v>
      </c>
      <c r="G13" s="252">
        <v>22.633333333244082</v>
      </c>
      <c r="H13" s="290" t="s">
        <v>107</v>
      </c>
      <c r="I13" s="161">
        <v>1</v>
      </c>
      <c r="J13" s="269" t="s">
        <v>96</v>
      </c>
      <c r="K13" s="270" t="s">
        <v>108</v>
      </c>
    </row>
    <row r="14" spans="1:15" x14ac:dyDescent="0.25">
      <c r="A14" s="385"/>
      <c r="B14" s="377"/>
      <c r="C14" s="161" t="s">
        <v>2</v>
      </c>
      <c r="D14" s="161">
        <v>10</v>
      </c>
      <c r="E14" s="251">
        <v>43488.53125</v>
      </c>
      <c r="F14" s="251">
        <v>43488.645833333336</v>
      </c>
      <c r="G14" s="252">
        <v>2.7500000000582077</v>
      </c>
      <c r="H14" s="290" t="s">
        <v>104</v>
      </c>
      <c r="I14" s="161">
        <v>0</v>
      </c>
      <c r="J14" s="269" t="s">
        <v>90</v>
      </c>
      <c r="K14" s="270" t="s">
        <v>92</v>
      </c>
    </row>
    <row r="15" spans="1:15" ht="15.75" thickBot="1" x14ac:dyDescent="0.3">
      <c r="A15" s="385"/>
      <c r="B15" s="378"/>
      <c r="C15" s="253" t="s">
        <v>2</v>
      </c>
      <c r="D15" s="253">
        <v>10</v>
      </c>
      <c r="E15" s="254">
        <v>43495.425000000003</v>
      </c>
      <c r="F15" s="254">
        <v>43495.456944444442</v>
      </c>
      <c r="G15" s="255">
        <v>0.76666666654637083</v>
      </c>
      <c r="H15" s="291" t="s">
        <v>91</v>
      </c>
      <c r="I15" s="51">
        <v>0</v>
      </c>
      <c r="J15" s="256" t="s">
        <v>90</v>
      </c>
      <c r="K15" s="257" t="s">
        <v>92</v>
      </c>
    </row>
    <row r="16" spans="1:15" x14ac:dyDescent="0.25">
      <c r="A16" s="385"/>
      <c r="B16" s="393" t="s">
        <v>33</v>
      </c>
      <c r="C16" s="47" t="s">
        <v>2</v>
      </c>
      <c r="D16" s="46">
        <v>10</v>
      </c>
      <c r="E16" s="48">
        <v>43482.625</v>
      </c>
      <c r="F16" s="48">
        <v>43482.75</v>
      </c>
      <c r="G16" s="49">
        <v>3</v>
      </c>
      <c r="H16" s="289" t="s">
        <v>105</v>
      </c>
      <c r="I16" s="47">
        <v>0</v>
      </c>
      <c r="J16" s="50" t="s">
        <v>90</v>
      </c>
      <c r="K16" s="112" t="s">
        <v>92</v>
      </c>
    </row>
    <row r="17" spans="1:11" x14ac:dyDescent="0.25">
      <c r="A17" s="385"/>
      <c r="B17" s="377"/>
      <c r="C17" s="100" t="s">
        <v>2</v>
      </c>
      <c r="D17" s="161">
        <v>10</v>
      </c>
      <c r="E17" s="101">
        <v>43482.902777777781</v>
      </c>
      <c r="F17" s="101">
        <v>43483.625</v>
      </c>
      <c r="G17" s="102">
        <v>17.333333333255723</v>
      </c>
      <c r="H17" s="290" t="s">
        <v>105</v>
      </c>
      <c r="I17" s="100">
        <v>0</v>
      </c>
      <c r="J17" s="103" t="s">
        <v>90</v>
      </c>
      <c r="K17" s="104" t="s">
        <v>92</v>
      </c>
    </row>
    <row r="18" spans="1:11" ht="15.75" thickBot="1" x14ac:dyDescent="0.3">
      <c r="A18" s="385"/>
      <c r="B18" s="378"/>
      <c r="C18" s="51" t="s">
        <v>2</v>
      </c>
      <c r="D18" s="253">
        <v>10</v>
      </c>
      <c r="E18" s="52">
        <v>43489.118055555555</v>
      </c>
      <c r="F18" s="52">
        <v>43489.135416666664</v>
      </c>
      <c r="G18" s="53">
        <v>0.41666666662786156</v>
      </c>
      <c r="H18" s="291" t="s">
        <v>105</v>
      </c>
      <c r="I18" s="51">
        <v>0</v>
      </c>
      <c r="J18" s="54" t="s">
        <v>90</v>
      </c>
      <c r="K18" s="111" t="s">
        <v>92</v>
      </c>
    </row>
    <row r="19" spans="1:11" ht="15.75" thickBot="1" x14ac:dyDescent="0.3">
      <c r="A19" s="385"/>
      <c r="B19" s="295" t="s">
        <v>34</v>
      </c>
      <c r="C19" s="181"/>
      <c r="D19" s="181"/>
      <c r="E19" s="182"/>
      <c r="F19" s="182"/>
      <c r="G19" s="183"/>
      <c r="H19" s="296"/>
      <c r="I19" s="181"/>
      <c r="J19" s="185"/>
      <c r="K19" s="186"/>
    </row>
    <row r="20" spans="1:11" ht="15.75" thickBot="1" x14ac:dyDescent="0.3">
      <c r="A20" s="386"/>
      <c r="B20" s="297" t="s">
        <v>35</v>
      </c>
      <c r="C20" s="271" t="s">
        <v>2</v>
      </c>
      <c r="D20" s="309">
        <v>10</v>
      </c>
      <c r="E20" s="272">
        <v>43467.636805555558</v>
      </c>
      <c r="F20" s="272">
        <v>43467.67083333333</v>
      </c>
      <c r="G20" s="273">
        <v>0.8166666665347293</v>
      </c>
      <c r="H20" s="306" t="s">
        <v>104</v>
      </c>
      <c r="I20" s="271">
        <v>0</v>
      </c>
      <c r="J20" s="334" t="s">
        <v>90</v>
      </c>
      <c r="K20" s="335" t="s">
        <v>92</v>
      </c>
    </row>
    <row r="21" spans="1:11" ht="15.75" thickTop="1" x14ac:dyDescent="0.25">
      <c r="A21" s="369" t="s">
        <v>43</v>
      </c>
      <c r="B21" s="390" t="s">
        <v>24</v>
      </c>
      <c r="C21" s="64" t="s">
        <v>36</v>
      </c>
      <c r="D21" s="64">
        <v>10</v>
      </c>
      <c r="E21" s="65">
        <v>43482.263888888891</v>
      </c>
      <c r="F21" s="65">
        <v>43482.378472222219</v>
      </c>
      <c r="G21" s="66">
        <v>2.7499999998835847</v>
      </c>
      <c r="H21" s="303" t="s">
        <v>105</v>
      </c>
      <c r="I21" s="64">
        <v>0</v>
      </c>
      <c r="J21" s="67" t="s">
        <v>90</v>
      </c>
      <c r="K21" s="68" t="s">
        <v>92</v>
      </c>
    </row>
    <row r="22" spans="1:11" x14ac:dyDescent="0.25">
      <c r="A22" s="370"/>
      <c r="B22" s="391"/>
      <c r="C22" s="69" t="s">
        <v>36</v>
      </c>
      <c r="D22" s="69">
        <v>10</v>
      </c>
      <c r="E22" s="70">
        <v>43482.378472222219</v>
      </c>
      <c r="F22" s="70">
        <v>43482.413194444445</v>
      </c>
      <c r="G22" s="71">
        <v>0.8333333334303461</v>
      </c>
      <c r="H22" s="283" t="s">
        <v>105</v>
      </c>
      <c r="I22" s="69">
        <v>0</v>
      </c>
      <c r="J22" s="72" t="s">
        <v>90</v>
      </c>
      <c r="K22" s="73" t="s">
        <v>92</v>
      </c>
    </row>
    <row r="23" spans="1:11" x14ac:dyDescent="0.25">
      <c r="A23" s="370"/>
      <c r="B23" s="391"/>
      <c r="C23" s="69" t="s">
        <v>36</v>
      </c>
      <c r="D23" s="69">
        <v>10</v>
      </c>
      <c r="E23" s="70">
        <v>43484.597222222219</v>
      </c>
      <c r="F23" s="70">
        <v>43484.729166666664</v>
      </c>
      <c r="G23" s="71">
        <v>3.1666666666860692</v>
      </c>
      <c r="H23" s="283" t="s">
        <v>105</v>
      </c>
      <c r="I23" s="69">
        <v>0</v>
      </c>
      <c r="J23" s="72" t="s">
        <v>90</v>
      </c>
      <c r="K23" s="73" t="s">
        <v>92</v>
      </c>
    </row>
    <row r="24" spans="1:11" x14ac:dyDescent="0.25">
      <c r="A24" s="370"/>
      <c r="B24" s="391"/>
      <c r="C24" s="69" t="s">
        <v>2</v>
      </c>
      <c r="D24" s="69">
        <v>10</v>
      </c>
      <c r="E24" s="70">
        <v>43489.184027777781</v>
      </c>
      <c r="F24" s="70">
        <v>43489.239583333336</v>
      </c>
      <c r="G24" s="71">
        <v>1.3333333333139308</v>
      </c>
      <c r="H24" s="283" t="s">
        <v>105</v>
      </c>
      <c r="I24" s="69">
        <v>0</v>
      </c>
      <c r="J24" s="72" t="s">
        <v>90</v>
      </c>
      <c r="K24" s="73" t="s">
        <v>92</v>
      </c>
    </row>
    <row r="25" spans="1:11" x14ac:dyDescent="0.25">
      <c r="A25" s="370"/>
      <c r="B25" s="391"/>
      <c r="C25" s="69" t="s">
        <v>36</v>
      </c>
      <c r="D25" s="69">
        <v>10</v>
      </c>
      <c r="E25" s="70">
        <v>43489.190972222219</v>
      </c>
      <c r="F25" s="70">
        <v>43489.548611111109</v>
      </c>
      <c r="G25" s="71">
        <v>8.5833333333721384</v>
      </c>
      <c r="H25" s="283" t="s">
        <v>105</v>
      </c>
      <c r="I25" s="69">
        <v>0</v>
      </c>
      <c r="J25" s="72" t="s">
        <v>90</v>
      </c>
      <c r="K25" s="73" t="s">
        <v>92</v>
      </c>
    </row>
    <row r="26" spans="1:11" x14ac:dyDescent="0.25">
      <c r="A26" s="370"/>
      <c r="B26" s="391"/>
      <c r="C26" s="69" t="s">
        <v>2</v>
      </c>
      <c r="D26" s="69">
        <v>10</v>
      </c>
      <c r="E26" s="70">
        <v>43491.604166666664</v>
      </c>
      <c r="F26" s="70">
        <v>43491.805555555555</v>
      </c>
      <c r="G26" s="71">
        <v>4.8333333333721384</v>
      </c>
      <c r="H26" s="283" t="s">
        <v>105</v>
      </c>
      <c r="I26" s="69">
        <v>0</v>
      </c>
      <c r="J26" s="72" t="s">
        <v>90</v>
      </c>
      <c r="K26" s="73" t="s">
        <v>92</v>
      </c>
    </row>
    <row r="27" spans="1:11" x14ac:dyDescent="0.25">
      <c r="A27" s="370"/>
      <c r="B27" s="391"/>
      <c r="C27" s="69" t="s">
        <v>2</v>
      </c>
      <c r="D27" s="69">
        <v>10</v>
      </c>
      <c r="E27" s="70">
        <v>43492.442361111112</v>
      </c>
      <c r="F27" s="70">
        <v>43492.480555555558</v>
      </c>
      <c r="G27" s="71">
        <v>0.91666666668606922</v>
      </c>
      <c r="H27" s="283" t="s">
        <v>105</v>
      </c>
      <c r="I27" s="69">
        <v>0</v>
      </c>
      <c r="J27" s="72" t="s">
        <v>90</v>
      </c>
      <c r="K27" s="73" t="s">
        <v>92</v>
      </c>
    </row>
    <row r="28" spans="1:11" x14ac:dyDescent="0.25">
      <c r="A28" s="370"/>
      <c r="B28" s="391"/>
      <c r="C28" s="69" t="s">
        <v>36</v>
      </c>
      <c r="D28" s="69">
        <v>10</v>
      </c>
      <c r="E28" s="70">
        <v>43493.642361111109</v>
      </c>
      <c r="F28" s="70">
        <v>43493.854166666664</v>
      </c>
      <c r="G28" s="71">
        <v>5.0833333333139308</v>
      </c>
      <c r="H28" s="283" t="s">
        <v>105</v>
      </c>
      <c r="I28" s="69">
        <v>0</v>
      </c>
      <c r="J28" s="72" t="s">
        <v>90</v>
      </c>
      <c r="K28" s="73" t="s">
        <v>92</v>
      </c>
    </row>
    <row r="29" spans="1:11" ht="15.75" thickBot="1" x14ac:dyDescent="0.3">
      <c r="A29" s="370"/>
      <c r="B29" s="392"/>
      <c r="C29" s="84" t="s">
        <v>2</v>
      </c>
      <c r="D29" s="84">
        <v>10</v>
      </c>
      <c r="E29" s="116">
        <v>43495.243055555555</v>
      </c>
      <c r="F29" s="116">
        <v>43495.298611111109</v>
      </c>
      <c r="G29" s="85">
        <v>1.3333333333139308</v>
      </c>
      <c r="H29" s="284" t="s">
        <v>105</v>
      </c>
      <c r="I29" s="84">
        <v>0</v>
      </c>
      <c r="J29" s="86" t="s">
        <v>90</v>
      </c>
      <c r="K29" s="87" t="s">
        <v>92</v>
      </c>
    </row>
    <row r="30" spans="1:11" x14ac:dyDescent="0.25">
      <c r="A30" s="370"/>
      <c r="B30" s="395" t="s">
        <v>25</v>
      </c>
      <c r="C30" s="79" t="s">
        <v>2</v>
      </c>
      <c r="D30" s="79">
        <v>6</v>
      </c>
      <c r="E30" s="80">
        <v>43478.163194444445</v>
      </c>
      <c r="F30" s="80">
        <v>43478.24722222222</v>
      </c>
      <c r="G30" s="81">
        <v>2.0166666666045785</v>
      </c>
      <c r="H30" s="282" t="s">
        <v>113</v>
      </c>
      <c r="I30" s="79">
        <v>1</v>
      </c>
      <c r="J30" s="82" t="s">
        <v>97</v>
      </c>
      <c r="K30" s="83" t="s">
        <v>109</v>
      </c>
    </row>
    <row r="31" spans="1:11" ht="15.75" thickBot="1" x14ac:dyDescent="0.3">
      <c r="A31" s="370"/>
      <c r="B31" s="392"/>
      <c r="C31" s="84" t="s">
        <v>2</v>
      </c>
      <c r="D31" s="84">
        <v>6</v>
      </c>
      <c r="E31" s="116">
        <v>43482.460416666669</v>
      </c>
      <c r="F31" s="116">
        <v>43482.57708333333</v>
      </c>
      <c r="G31" s="85">
        <v>2.7999999998719431</v>
      </c>
      <c r="H31" s="284" t="s">
        <v>105</v>
      </c>
      <c r="I31" s="84">
        <v>0</v>
      </c>
      <c r="J31" s="86" t="s">
        <v>90</v>
      </c>
      <c r="K31" s="87" t="s">
        <v>92</v>
      </c>
    </row>
    <row r="32" spans="1:11" x14ac:dyDescent="0.25">
      <c r="A32" s="370"/>
      <c r="B32" s="397" t="s">
        <v>18</v>
      </c>
      <c r="C32" s="79" t="s">
        <v>2</v>
      </c>
      <c r="D32" s="79">
        <v>10</v>
      </c>
      <c r="E32" s="80">
        <v>43467.913194444445</v>
      </c>
      <c r="F32" s="80">
        <v>43467.932638888888</v>
      </c>
      <c r="G32" s="81">
        <v>0.46666666661622003</v>
      </c>
      <c r="H32" s="282" t="s">
        <v>106</v>
      </c>
      <c r="I32" s="79">
        <v>1</v>
      </c>
      <c r="J32" s="82" t="s">
        <v>90</v>
      </c>
      <c r="K32" s="83" t="s">
        <v>92</v>
      </c>
    </row>
    <row r="33" spans="1:11" x14ac:dyDescent="0.25">
      <c r="A33" s="370"/>
      <c r="B33" s="398"/>
      <c r="C33" s="69" t="s">
        <v>36</v>
      </c>
      <c r="D33" s="69">
        <v>10</v>
      </c>
      <c r="E33" s="70">
        <v>43470.833333333336</v>
      </c>
      <c r="F33" s="70">
        <v>43470.861111111109</v>
      </c>
      <c r="G33" s="71">
        <v>0.6666666665696539</v>
      </c>
      <c r="H33" s="283" t="s">
        <v>106</v>
      </c>
      <c r="I33" s="69">
        <v>1</v>
      </c>
      <c r="J33" s="72" t="s">
        <v>90</v>
      </c>
      <c r="K33" s="73" t="s">
        <v>92</v>
      </c>
    </row>
    <row r="34" spans="1:11" x14ac:dyDescent="0.25">
      <c r="A34" s="370"/>
      <c r="B34" s="398"/>
      <c r="C34" s="69" t="s">
        <v>36</v>
      </c>
      <c r="D34" s="69">
        <v>10</v>
      </c>
      <c r="E34" s="70">
        <v>43474.409722222219</v>
      </c>
      <c r="F34" s="70">
        <v>43474.465277777781</v>
      </c>
      <c r="G34" s="71">
        <v>1.3333333334885538</v>
      </c>
      <c r="H34" s="283" t="s">
        <v>106</v>
      </c>
      <c r="I34" s="69">
        <v>1</v>
      </c>
      <c r="J34" s="72" t="s">
        <v>90</v>
      </c>
      <c r="K34" s="73" t="s">
        <v>92</v>
      </c>
    </row>
    <row r="35" spans="1:11" x14ac:dyDescent="0.25">
      <c r="A35" s="370"/>
      <c r="B35" s="398"/>
      <c r="C35" s="69" t="s">
        <v>36</v>
      </c>
      <c r="D35" s="69">
        <v>10</v>
      </c>
      <c r="E35" s="70">
        <v>43474.815972222219</v>
      </c>
      <c r="F35" s="70">
        <v>43474.933333333334</v>
      </c>
      <c r="G35" s="71">
        <v>2.8166666667675599</v>
      </c>
      <c r="H35" s="283" t="s">
        <v>106</v>
      </c>
      <c r="I35" s="69">
        <v>1</v>
      </c>
      <c r="J35" s="72" t="s">
        <v>90</v>
      </c>
      <c r="K35" s="73" t="s">
        <v>92</v>
      </c>
    </row>
    <row r="36" spans="1:11" x14ac:dyDescent="0.25">
      <c r="A36" s="370"/>
      <c r="B36" s="398"/>
      <c r="C36" s="69" t="s">
        <v>36</v>
      </c>
      <c r="D36" s="69">
        <v>10</v>
      </c>
      <c r="E36" s="70">
        <v>43475.125</v>
      </c>
      <c r="F36" s="70">
        <v>43475.135416666664</v>
      </c>
      <c r="G36" s="71">
        <v>0.24999999994179234</v>
      </c>
      <c r="H36" s="283" t="s">
        <v>106</v>
      </c>
      <c r="I36" s="69">
        <v>1</v>
      </c>
      <c r="J36" s="72" t="s">
        <v>90</v>
      </c>
      <c r="K36" s="73" t="s">
        <v>92</v>
      </c>
    </row>
    <row r="37" spans="1:11" x14ac:dyDescent="0.25">
      <c r="A37" s="370"/>
      <c r="B37" s="398"/>
      <c r="C37" s="69" t="s">
        <v>36</v>
      </c>
      <c r="D37" s="69">
        <v>10</v>
      </c>
      <c r="E37" s="70">
        <v>43478.996527777781</v>
      </c>
      <c r="F37" s="70">
        <v>43479.041666666664</v>
      </c>
      <c r="G37" s="71">
        <v>1.0833333331975155</v>
      </c>
      <c r="H37" s="283" t="s">
        <v>106</v>
      </c>
      <c r="I37" s="69">
        <v>1</v>
      </c>
      <c r="J37" s="72" t="s">
        <v>90</v>
      </c>
      <c r="K37" s="73" t="s">
        <v>92</v>
      </c>
    </row>
    <row r="38" spans="1:11" x14ac:dyDescent="0.25">
      <c r="A38" s="370"/>
      <c r="B38" s="398"/>
      <c r="C38" s="69" t="s">
        <v>36</v>
      </c>
      <c r="D38" s="69">
        <v>10</v>
      </c>
      <c r="E38" s="70">
        <v>43478.996527777781</v>
      </c>
      <c r="F38" s="70">
        <v>43479.098611111112</v>
      </c>
      <c r="G38" s="71">
        <v>2.4499999999534339</v>
      </c>
      <c r="H38" s="283" t="s">
        <v>106</v>
      </c>
      <c r="I38" s="69">
        <v>1</v>
      </c>
      <c r="J38" s="72" t="s">
        <v>90</v>
      </c>
      <c r="K38" s="73" t="s">
        <v>92</v>
      </c>
    </row>
    <row r="39" spans="1:11" x14ac:dyDescent="0.25">
      <c r="A39" s="370"/>
      <c r="B39" s="398"/>
      <c r="C39" s="69" t="s">
        <v>36</v>
      </c>
      <c r="D39" s="69">
        <v>10</v>
      </c>
      <c r="E39" s="70">
        <v>43480.611111111109</v>
      </c>
      <c r="F39" s="70">
        <v>43480.649305555555</v>
      </c>
      <c r="G39" s="71">
        <v>0.91666666668606922</v>
      </c>
      <c r="H39" s="283" t="s">
        <v>106</v>
      </c>
      <c r="I39" s="69">
        <v>1</v>
      </c>
      <c r="J39" s="72" t="s">
        <v>90</v>
      </c>
      <c r="K39" s="73" t="s">
        <v>92</v>
      </c>
    </row>
    <row r="40" spans="1:11" x14ac:dyDescent="0.25">
      <c r="A40" s="370"/>
      <c r="B40" s="398"/>
      <c r="C40" s="69" t="s">
        <v>2</v>
      </c>
      <c r="D40" s="69">
        <v>10</v>
      </c>
      <c r="E40" s="70">
        <v>43489.03402777778</v>
      </c>
      <c r="F40" s="70">
        <v>43489.109027777777</v>
      </c>
      <c r="G40" s="71">
        <v>1.7999999999301508</v>
      </c>
      <c r="H40" s="283" t="s">
        <v>106</v>
      </c>
      <c r="I40" s="69">
        <v>1</v>
      </c>
      <c r="J40" s="72" t="s">
        <v>90</v>
      </c>
      <c r="K40" s="73" t="s">
        <v>92</v>
      </c>
    </row>
    <row r="41" spans="1:11" x14ac:dyDescent="0.25">
      <c r="A41" s="370"/>
      <c r="B41" s="398"/>
      <c r="C41" s="69" t="s">
        <v>2</v>
      </c>
      <c r="D41" s="69">
        <v>10</v>
      </c>
      <c r="E41" s="70">
        <v>43495.340277777781</v>
      </c>
      <c r="F41" s="70">
        <v>43495.375</v>
      </c>
      <c r="G41" s="71">
        <v>0.83333333325572312</v>
      </c>
      <c r="H41" s="283" t="s">
        <v>106</v>
      </c>
      <c r="I41" s="69">
        <v>1</v>
      </c>
      <c r="J41" s="72" t="s">
        <v>90</v>
      </c>
      <c r="K41" s="73" t="s">
        <v>92</v>
      </c>
    </row>
    <row r="42" spans="1:11" x14ac:dyDescent="0.25">
      <c r="A42" s="370"/>
      <c r="B42" s="398"/>
      <c r="C42" s="69" t="s">
        <v>2</v>
      </c>
      <c r="D42" s="69">
        <v>10</v>
      </c>
      <c r="E42" s="70">
        <v>43495.684027777781</v>
      </c>
      <c r="F42" s="70">
        <v>43495.694444444445</v>
      </c>
      <c r="G42" s="71">
        <v>0.24999999994179234</v>
      </c>
      <c r="H42" s="283" t="s">
        <v>106</v>
      </c>
      <c r="I42" s="69">
        <v>1</v>
      </c>
      <c r="J42" s="72" t="s">
        <v>90</v>
      </c>
      <c r="K42" s="73" t="s">
        <v>92</v>
      </c>
    </row>
    <row r="43" spans="1:11" ht="15.75" thickBot="1" x14ac:dyDescent="0.3">
      <c r="A43" s="370"/>
      <c r="B43" s="399"/>
      <c r="C43" s="84" t="s">
        <v>2</v>
      </c>
      <c r="D43" s="84">
        <v>10</v>
      </c>
      <c r="E43" s="116">
        <v>43495.686111111114</v>
      </c>
      <c r="F43" s="116">
        <v>43495.763888888891</v>
      </c>
      <c r="G43" s="85">
        <v>1.8666666666395031</v>
      </c>
      <c r="H43" s="284" t="s">
        <v>106</v>
      </c>
      <c r="I43" s="84">
        <v>1</v>
      </c>
      <c r="J43" s="86" t="s">
        <v>90</v>
      </c>
      <c r="K43" s="87" t="s">
        <v>92</v>
      </c>
    </row>
    <row r="44" spans="1:11" x14ac:dyDescent="0.25">
      <c r="A44" s="370"/>
      <c r="B44" s="397" t="s">
        <v>19</v>
      </c>
      <c r="C44" s="79" t="s">
        <v>2</v>
      </c>
      <c r="D44" s="79">
        <v>10</v>
      </c>
      <c r="E44" s="80">
        <v>43466.395833333336</v>
      </c>
      <c r="F44" s="80">
        <v>43466.423611111109</v>
      </c>
      <c r="G44" s="81">
        <v>0.6666666665696539</v>
      </c>
      <c r="H44" s="282" t="s">
        <v>106</v>
      </c>
      <c r="I44" s="79">
        <v>1</v>
      </c>
      <c r="J44" s="82" t="s">
        <v>90</v>
      </c>
      <c r="K44" s="83" t="s">
        <v>92</v>
      </c>
    </row>
    <row r="45" spans="1:11" x14ac:dyDescent="0.25">
      <c r="A45" s="370"/>
      <c r="B45" s="398"/>
      <c r="C45" s="69" t="s">
        <v>2</v>
      </c>
      <c r="D45" s="69">
        <v>10</v>
      </c>
      <c r="E45" s="70">
        <v>43485.515972222223</v>
      </c>
      <c r="F45" s="70">
        <v>43485.943055555559</v>
      </c>
      <c r="G45" s="71">
        <v>10.250000000058208</v>
      </c>
      <c r="H45" s="283" t="s">
        <v>106</v>
      </c>
      <c r="I45" s="69">
        <v>1</v>
      </c>
      <c r="J45" s="72" t="s">
        <v>90</v>
      </c>
      <c r="K45" s="73" t="s">
        <v>92</v>
      </c>
    </row>
    <row r="46" spans="1:11" x14ac:dyDescent="0.25">
      <c r="A46" s="370"/>
      <c r="B46" s="398"/>
      <c r="C46" s="69" t="s">
        <v>2</v>
      </c>
      <c r="D46" s="69">
        <v>10</v>
      </c>
      <c r="E46" s="70">
        <v>43488.982638888891</v>
      </c>
      <c r="F46" s="70">
        <v>43489.044444444444</v>
      </c>
      <c r="G46" s="71">
        <v>1.4833333332790062</v>
      </c>
      <c r="H46" s="283" t="s">
        <v>106</v>
      </c>
      <c r="I46" s="69">
        <v>1</v>
      </c>
      <c r="J46" s="72" t="s">
        <v>90</v>
      </c>
      <c r="K46" s="73" t="s">
        <v>92</v>
      </c>
    </row>
    <row r="47" spans="1:11" x14ac:dyDescent="0.25">
      <c r="A47" s="370"/>
      <c r="B47" s="398"/>
      <c r="C47" s="69" t="s">
        <v>2</v>
      </c>
      <c r="D47" s="69">
        <v>10</v>
      </c>
      <c r="E47" s="70">
        <v>43489.791666666664</v>
      </c>
      <c r="F47" s="70">
        <v>43489.822916666664</v>
      </c>
      <c r="G47" s="71">
        <v>0.75</v>
      </c>
      <c r="H47" s="283" t="s">
        <v>106</v>
      </c>
      <c r="I47" s="69">
        <v>1</v>
      </c>
      <c r="J47" s="72" t="s">
        <v>90</v>
      </c>
      <c r="K47" s="73" t="s">
        <v>92</v>
      </c>
    </row>
    <row r="48" spans="1:11" ht="15.75" thickBot="1" x14ac:dyDescent="0.3">
      <c r="A48" s="371"/>
      <c r="B48" s="400"/>
      <c r="C48" s="74" t="s">
        <v>2</v>
      </c>
      <c r="D48" s="74">
        <v>10</v>
      </c>
      <c r="E48" s="75">
        <v>43491.194444444445</v>
      </c>
      <c r="F48" s="75">
        <v>43491.643750000003</v>
      </c>
      <c r="G48" s="76">
        <v>10.78333333338378</v>
      </c>
      <c r="H48" s="285" t="s">
        <v>106</v>
      </c>
      <c r="I48" s="74">
        <v>1</v>
      </c>
      <c r="J48" s="77" t="s">
        <v>90</v>
      </c>
      <c r="K48" s="78" t="s">
        <v>92</v>
      </c>
    </row>
    <row r="49" spans="1:11" ht="15.75" thickTop="1" x14ac:dyDescent="0.25">
      <c r="A49" s="373" t="s">
        <v>30</v>
      </c>
      <c r="B49" s="376" t="s">
        <v>31</v>
      </c>
      <c r="C49" s="59" t="s">
        <v>52</v>
      </c>
      <c r="D49" s="59">
        <v>10</v>
      </c>
      <c r="E49" s="258">
        <v>43467.277777777781</v>
      </c>
      <c r="F49" s="258">
        <v>43467.34375</v>
      </c>
      <c r="G49" s="60">
        <v>1.5833333332557231</v>
      </c>
      <c r="H49" s="308" t="s">
        <v>105</v>
      </c>
      <c r="I49" s="59">
        <v>0</v>
      </c>
      <c r="J49" s="61" t="s">
        <v>90</v>
      </c>
      <c r="K49" s="259" t="s">
        <v>92</v>
      </c>
    </row>
    <row r="50" spans="1:11" x14ac:dyDescent="0.25">
      <c r="A50" s="374"/>
      <c r="B50" s="377"/>
      <c r="C50" s="100" t="s">
        <v>2</v>
      </c>
      <c r="D50" s="100">
        <v>10</v>
      </c>
      <c r="E50" s="101">
        <v>43468.225694444445</v>
      </c>
      <c r="F50" s="101">
        <v>43468.242361111108</v>
      </c>
      <c r="G50" s="102">
        <v>0.39999999990686774</v>
      </c>
      <c r="H50" s="287" t="s">
        <v>111</v>
      </c>
      <c r="I50" s="100">
        <v>1</v>
      </c>
      <c r="J50" s="103" t="s">
        <v>90</v>
      </c>
      <c r="K50" s="104" t="s">
        <v>108</v>
      </c>
    </row>
    <row r="51" spans="1:11" x14ac:dyDescent="0.25">
      <c r="A51" s="374"/>
      <c r="B51" s="377"/>
      <c r="C51" s="100" t="s">
        <v>36</v>
      </c>
      <c r="D51" s="100">
        <v>10</v>
      </c>
      <c r="E51" s="101">
        <v>43469.933333333334</v>
      </c>
      <c r="F51" s="101">
        <v>43469.961805555555</v>
      </c>
      <c r="G51" s="102">
        <v>0.68333333329064772</v>
      </c>
      <c r="H51" s="287" t="s">
        <v>105</v>
      </c>
      <c r="I51" s="100">
        <v>0</v>
      </c>
      <c r="J51" s="103" t="s">
        <v>90</v>
      </c>
      <c r="K51" s="104" t="s">
        <v>92</v>
      </c>
    </row>
    <row r="52" spans="1:11" x14ac:dyDescent="0.25">
      <c r="A52" s="374"/>
      <c r="B52" s="377"/>
      <c r="C52" s="100" t="s">
        <v>2</v>
      </c>
      <c r="D52" s="100">
        <v>10</v>
      </c>
      <c r="E52" s="101">
        <v>43472.613888888889</v>
      </c>
      <c r="F52" s="101">
        <v>43472.807638888888</v>
      </c>
      <c r="G52" s="102">
        <v>4.6499999999650754</v>
      </c>
      <c r="H52" s="287" t="s">
        <v>104</v>
      </c>
      <c r="I52" s="100">
        <v>0</v>
      </c>
      <c r="J52" s="103" t="s">
        <v>90</v>
      </c>
      <c r="K52" s="104" t="s">
        <v>92</v>
      </c>
    </row>
    <row r="53" spans="1:11" x14ac:dyDescent="0.25">
      <c r="A53" s="374"/>
      <c r="B53" s="377"/>
      <c r="C53" s="100" t="s">
        <v>2</v>
      </c>
      <c r="D53" s="100">
        <v>10</v>
      </c>
      <c r="E53" s="101">
        <v>43473.547222222223</v>
      </c>
      <c r="F53" s="101">
        <v>43473.590277777781</v>
      </c>
      <c r="G53" s="102">
        <v>1.03333333338378</v>
      </c>
      <c r="H53" s="287" t="s">
        <v>104</v>
      </c>
      <c r="I53" s="100">
        <v>0</v>
      </c>
      <c r="J53" s="103" t="s">
        <v>90</v>
      </c>
      <c r="K53" s="104" t="s">
        <v>92</v>
      </c>
    </row>
    <row r="54" spans="1:11" x14ac:dyDescent="0.25">
      <c r="A54" s="374"/>
      <c r="B54" s="377"/>
      <c r="C54" s="100" t="s">
        <v>2</v>
      </c>
      <c r="D54" s="100">
        <v>10</v>
      </c>
      <c r="E54" s="101">
        <v>43480.697916666664</v>
      </c>
      <c r="F54" s="101">
        <v>43480.729166666664</v>
      </c>
      <c r="G54" s="102">
        <v>0.75</v>
      </c>
      <c r="H54" s="287" t="s">
        <v>104</v>
      </c>
      <c r="I54" s="100">
        <v>0</v>
      </c>
      <c r="J54" s="103" t="s">
        <v>90</v>
      </c>
      <c r="K54" s="104" t="s">
        <v>92</v>
      </c>
    </row>
    <row r="55" spans="1:11" x14ac:dyDescent="0.25">
      <c r="A55" s="374"/>
      <c r="B55" s="377"/>
      <c r="C55" s="100" t="s">
        <v>36</v>
      </c>
      <c r="D55" s="100">
        <v>10</v>
      </c>
      <c r="E55" s="101">
        <v>43484.322916666664</v>
      </c>
      <c r="F55" s="101">
        <v>43484.394444444442</v>
      </c>
      <c r="G55" s="102">
        <v>1.7166666666744277</v>
      </c>
      <c r="H55" s="287" t="s">
        <v>91</v>
      </c>
      <c r="I55" s="100">
        <v>0</v>
      </c>
      <c r="J55" s="103" t="s">
        <v>90</v>
      </c>
      <c r="K55" s="104" t="s">
        <v>92</v>
      </c>
    </row>
    <row r="56" spans="1:11" x14ac:dyDescent="0.25">
      <c r="A56" s="374"/>
      <c r="B56" s="377"/>
      <c r="C56" s="100" t="s">
        <v>36</v>
      </c>
      <c r="D56" s="100">
        <v>10</v>
      </c>
      <c r="E56" s="101">
        <v>43491.655555555553</v>
      </c>
      <c r="F56" s="101">
        <v>43491.724999999999</v>
      </c>
      <c r="G56" s="102">
        <v>1.6666666666860692</v>
      </c>
      <c r="H56" s="287" t="s">
        <v>114</v>
      </c>
      <c r="I56" s="100">
        <v>0</v>
      </c>
      <c r="J56" s="103" t="s">
        <v>97</v>
      </c>
      <c r="K56" s="104" t="s">
        <v>109</v>
      </c>
    </row>
    <row r="57" spans="1:11" x14ac:dyDescent="0.25">
      <c r="A57" s="374"/>
      <c r="B57" s="377"/>
      <c r="C57" s="100" t="s">
        <v>2</v>
      </c>
      <c r="D57" s="100">
        <v>10</v>
      </c>
      <c r="E57" s="101">
        <v>43493.443055555559</v>
      </c>
      <c r="F57" s="101">
        <v>43493.532638888886</v>
      </c>
      <c r="G57" s="102">
        <v>2.1499999998486601</v>
      </c>
      <c r="H57" s="287" t="s">
        <v>104</v>
      </c>
      <c r="I57" s="100">
        <v>0</v>
      </c>
      <c r="J57" s="103" t="s">
        <v>90</v>
      </c>
      <c r="K57" s="104" t="s">
        <v>92</v>
      </c>
    </row>
    <row r="58" spans="1:11" x14ac:dyDescent="0.25">
      <c r="A58" s="374"/>
      <c r="B58" s="377"/>
      <c r="C58" s="100" t="s">
        <v>2</v>
      </c>
      <c r="D58" s="100">
        <v>10</v>
      </c>
      <c r="E58" s="101">
        <v>43494.979166666664</v>
      </c>
      <c r="F58" s="101">
        <v>43495.03402777778</v>
      </c>
      <c r="G58" s="102">
        <v>1.3166666667675599</v>
      </c>
      <c r="H58" s="287" t="s">
        <v>104</v>
      </c>
      <c r="I58" s="100">
        <v>0</v>
      </c>
      <c r="J58" s="103" t="s">
        <v>90</v>
      </c>
      <c r="K58" s="104" t="s">
        <v>92</v>
      </c>
    </row>
    <row r="59" spans="1:11" x14ac:dyDescent="0.25">
      <c r="A59" s="374"/>
      <c r="B59" s="377"/>
      <c r="C59" s="100" t="s">
        <v>2</v>
      </c>
      <c r="D59" s="100">
        <v>10</v>
      </c>
      <c r="E59" s="101">
        <v>43495.444444444445</v>
      </c>
      <c r="F59" s="101">
        <v>43495.482638888891</v>
      </c>
      <c r="G59" s="102">
        <v>0.91666666668606922</v>
      </c>
      <c r="H59" s="287" t="s">
        <v>104</v>
      </c>
      <c r="I59" s="100">
        <v>0</v>
      </c>
      <c r="J59" s="103" t="s">
        <v>90</v>
      </c>
      <c r="K59" s="104" t="s">
        <v>92</v>
      </c>
    </row>
    <row r="60" spans="1:11" ht="15.75" thickBot="1" x14ac:dyDescent="0.3">
      <c r="A60" s="374"/>
      <c r="B60" s="378"/>
      <c r="C60" s="51" t="s">
        <v>2</v>
      </c>
      <c r="D60" s="51">
        <v>10</v>
      </c>
      <c r="E60" s="52">
        <v>43495.701388888891</v>
      </c>
      <c r="F60" s="52">
        <v>43495.793749999997</v>
      </c>
      <c r="G60" s="53">
        <v>2.2166666665580124</v>
      </c>
      <c r="H60" s="292" t="s">
        <v>111</v>
      </c>
      <c r="I60" s="51">
        <v>1</v>
      </c>
      <c r="J60" s="310" t="s">
        <v>90</v>
      </c>
      <c r="K60" s="311" t="s">
        <v>108</v>
      </c>
    </row>
    <row r="61" spans="1:11" x14ac:dyDescent="0.25">
      <c r="A61" s="374"/>
      <c r="B61" s="393" t="s">
        <v>32</v>
      </c>
      <c r="C61" s="47" t="s">
        <v>2</v>
      </c>
      <c r="D61" s="47">
        <v>10</v>
      </c>
      <c r="E61" s="48">
        <v>43466.056944444441</v>
      </c>
      <c r="F61" s="48">
        <v>43466.065972222219</v>
      </c>
      <c r="G61" s="49">
        <v>0.21666666667442769</v>
      </c>
      <c r="H61" s="286" t="s">
        <v>111</v>
      </c>
      <c r="I61" s="47">
        <v>1</v>
      </c>
      <c r="J61" s="50" t="s">
        <v>90</v>
      </c>
      <c r="K61" s="112" t="s">
        <v>108</v>
      </c>
    </row>
    <row r="62" spans="1:11" x14ac:dyDescent="0.25">
      <c r="A62" s="374"/>
      <c r="B62" s="377"/>
      <c r="C62" s="100" t="s">
        <v>36</v>
      </c>
      <c r="D62" s="100">
        <v>10</v>
      </c>
      <c r="E62" s="101">
        <v>43466.597222222219</v>
      </c>
      <c r="F62" s="101">
        <v>43466.631944444445</v>
      </c>
      <c r="G62" s="102">
        <v>0.8333333334303461</v>
      </c>
      <c r="H62" s="287" t="s">
        <v>91</v>
      </c>
      <c r="I62" s="100">
        <v>0</v>
      </c>
      <c r="J62" s="103" t="s">
        <v>90</v>
      </c>
      <c r="K62" s="104" t="s">
        <v>92</v>
      </c>
    </row>
    <row r="63" spans="1:11" x14ac:dyDescent="0.25">
      <c r="A63" s="374"/>
      <c r="B63" s="377"/>
      <c r="C63" s="100" t="s">
        <v>2</v>
      </c>
      <c r="D63" s="100">
        <v>10</v>
      </c>
      <c r="E63" s="101">
        <v>43467.784722222219</v>
      </c>
      <c r="F63" s="101">
        <v>43467.928472222222</v>
      </c>
      <c r="G63" s="102">
        <v>3.4500000000698492</v>
      </c>
      <c r="H63" s="287" t="s">
        <v>111</v>
      </c>
      <c r="I63" s="100">
        <v>1</v>
      </c>
      <c r="J63" s="103" t="s">
        <v>90</v>
      </c>
      <c r="K63" s="104" t="s">
        <v>108</v>
      </c>
    </row>
    <row r="64" spans="1:11" x14ac:dyDescent="0.25">
      <c r="A64" s="374"/>
      <c r="B64" s="377"/>
      <c r="C64" s="100" t="s">
        <v>2</v>
      </c>
      <c r="D64" s="100">
        <v>10</v>
      </c>
      <c r="E64" s="101">
        <v>43468.478472222225</v>
      </c>
      <c r="F64" s="101">
        <v>43468.590277777781</v>
      </c>
      <c r="G64" s="102">
        <v>2.6833333333488554</v>
      </c>
      <c r="H64" s="287" t="s">
        <v>111</v>
      </c>
      <c r="I64" s="100">
        <v>1</v>
      </c>
      <c r="J64" s="103" t="s">
        <v>90</v>
      </c>
      <c r="K64" s="104" t="s">
        <v>108</v>
      </c>
    </row>
    <row r="65" spans="1:11" x14ac:dyDescent="0.25">
      <c r="A65" s="374"/>
      <c r="B65" s="377"/>
      <c r="C65" s="100" t="s">
        <v>36</v>
      </c>
      <c r="D65" s="100">
        <v>10</v>
      </c>
      <c r="E65" s="101">
        <v>43471.833333333336</v>
      </c>
      <c r="F65" s="101">
        <v>43471.883333333331</v>
      </c>
      <c r="G65" s="102">
        <v>1.1999999998952262</v>
      </c>
      <c r="H65" s="287" t="s">
        <v>104</v>
      </c>
      <c r="I65" s="100">
        <v>0</v>
      </c>
      <c r="J65" s="103" t="s">
        <v>90</v>
      </c>
      <c r="K65" s="104" t="s">
        <v>92</v>
      </c>
    </row>
    <row r="66" spans="1:11" x14ac:dyDescent="0.25">
      <c r="A66" s="374"/>
      <c r="B66" s="377"/>
      <c r="C66" s="100" t="s">
        <v>2</v>
      </c>
      <c r="D66" s="100">
        <v>10</v>
      </c>
      <c r="E66" s="101">
        <v>43472.683333333334</v>
      </c>
      <c r="F66" s="101">
        <v>43472.863194444442</v>
      </c>
      <c r="G66" s="102">
        <v>4.316666666592937</v>
      </c>
      <c r="H66" s="287" t="s">
        <v>107</v>
      </c>
      <c r="I66" s="280">
        <v>1</v>
      </c>
      <c r="J66" s="279" t="s">
        <v>96</v>
      </c>
      <c r="K66" s="299" t="s">
        <v>108</v>
      </c>
    </row>
    <row r="67" spans="1:11" x14ac:dyDescent="0.25">
      <c r="A67" s="374"/>
      <c r="B67" s="377"/>
      <c r="C67" s="100" t="s">
        <v>2</v>
      </c>
      <c r="D67" s="100">
        <v>10</v>
      </c>
      <c r="E67" s="101">
        <v>43476.352777777778</v>
      </c>
      <c r="F67" s="101">
        <v>43476.484027777777</v>
      </c>
      <c r="G67" s="102">
        <v>3.1499999999650754</v>
      </c>
      <c r="H67" s="287" t="s">
        <v>111</v>
      </c>
      <c r="I67" s="280">
        <v>1</v>
      </c>
      <c r="J67" s="279" t="s">
        <v>90</v>
      </c>
      <c r="K67" s="299" t="s">
        <v>108</v>
      </c>
    </row>
    <row r="68" spans="1:11" ht="15.75" thickBot="1" x14ac:dyDescent="0.3">
      <c r="A68" s="375"/>
      <c r="B68" s="394"/>
      <c r="C68" s="117" t="s">
        <v>2</v>
      </c>
      <c r="D68" s="117">
        <v>6</v>
      </c>
      <c r="E68" s="118">
        <v>43483.055555555555</v>
      </c>
      <c r="F68" s="118">
        <v>43483.097222222219</v>
      </c>
      <c r="G68" s="119">
        <v>0.99999999994179234</v>
      </c>
      <c r="H68" s="293" t="s">
        <v>91</v>
      </c>
      <c r="I68" s="117">
        <v>0</v>
      </c>
      <c r="J68" s="294" t="s">
        <v>90</v>
      </c>
      <c r="K68" s="305" t="s">
        <v>92</v>
      </c>
    </row>
    <row r="69" spans="1:11" ht="15.75" thickTop="1" x14ac:dyDescent="0.25">
      <c r="A69" s="379" t="s">
        <v>41</v>
      </c>
      <c r="B69" s="390" t="s">
        <v>22</v>
      </c>
      <c r="C69" s="64" t="s">
        <v>52</v>
      </c>
      <c r="D69" s="64">
        <v>35</v>
      </c>
      <c r="E69" s="312">
        <v>43467.136805555558</v>
      </c>
      <c r="F69" s="65">
        <v>43467.193749999999</v>
      </c>
      <c r="G69" s="66">
        <v>1.3666666665812954</v>
      </c>
      <c r="H69" s="303" t="s">
        <v>104</v>
      </c>
      <c r="I69" s="64">
        <v>0</v>
      </c>
      <c r="J69" s="67" t="s">
        <v>90</v>
      </c>
      <c r="K69" s="68" t="s">
        <v>92</v>
      </c>
    </row>
    <row r="70" spans="1:11" x14ac:dyDescent="0.25">
      <c r="A70" s="380"/>
      <c r="B70" s="391"/>
      <c r="C70" s="69" t="s">
        <v>36</v>
      </c>
      <c r="D70" s="69">
        <v>6</v>
      </c>
      <c r="E70" s="250">
        <v>43467.395833333336</v>
      </c>
      <c r="F70" s="70">
        <v>43467.465277777781</v>
      </c>
      <c r="G70" s="71">
        <v>1.6666666666860692</v>
      </c>
      <c r="H70" s="283" t="s">
        <v>104</v>
      </c>
      <c r="I70" s="69">
        <v>0</v>
      </c>
      <c r="J70" s="72" t="s">
        <v>90</v>
      </c>
      <c r="K70" s="73" t="s">
        <v>92</v>
      </c>
    </row>
    <row r="71" spans="1:11" x14ac:dyDescent="0.25">
      <c r="A71" s="380"/>
      <c r="B71" s="391"/>
      <c r="C71" s="69" t="s">
        <v>36</v>
      </c>
      <c r="D71" s="69">
        <v>6</v>
      </c>
      <c r="E71" s="250">
        <v>43467.43472222222</v>
      </c>
      <c r="F71" s="70">
        <v>43467.506944444445</v>
      </c>
      <c r="G71" s="71">
        <v>1.7333333333954215</v>
      </c>
      <c r="H71" s="283" t="s">
        <v>91</v>
      </c>
      <c r="I71" s="69">
        <v>0</v>
      </c>
      <c r="J71" s="72" t="s">
        <v>90</v>
      </c>
      <c r="K71" s="73" t="s">
        <v>92</v>
      </c>
    </row>
    <row r="72" spans="1:11" x14ac:dyDescent="0.25">
      <c r="A72" s="380"/>
      <c r="B72" s="391"/>
      <c r="C72" s="69" t="s">
        <v>36</v>
      </c>
      <c r="D72" s="69">
        <v>6</v>
      </c>
      <c r="E72" s="250">
        <v>43479.799305555556</v>
      </c>
      <c r="F72" s="70">
        <v>43479.895833333336</v>
      </c>
      <c r="G72" s="71">
        <v>2.3166666667093523</v>
      </c>
      <c r="H72" s="283" t="s">
        <v>115</v>
      </c>
      <c r="I72" s="69">
        <v>1</v>
      </c>
      <c r="J72" s="72" t="s">
        <v>96</v>
      </c>
      <c r="K72" s="73" t="s">
        <v>108</v>
      </c>
    </row>
    <row r="73" spans="1:11" x14ac:dyDescent="0.25">
      <c r="A73" s="380"/>
      <c r="B73" s="391"/>
      <c r="C73" s="69" t="s">
        <v>36</v>
      </c>
      <c r="D73" s="69">
        <v>6</v>
      </c>
      <c r="E73" s="250">
        <v>43482.388888888891</v>
      </c>
      <c r="F73" s="70">
        <v>43482.445833333331</v>
      </c>
      <c r="G73" s="71">
        <v>1.3666666665812954</v>
      </c>
      <c r="H73" s="283" t="s">
        <v>115</v>
      </c>
      <c r="I73" s="69">
        <v>1</v>
      </c>
      <c r="J73" s="72" t="s">
        <v>90</v>
      </c>
      <c r="K73" s="73" t="s">
        <v>108</v>
      </c>
    </row>
    <row r="74" spans="1:11" x14ac:dyDescent="0.25">
      <c r="A74" s="380"/>
      <c r="B74" s="391"/>
      <c r="C74" s="69" t="s">
        <v>36</v>
      </c>
      <c r="D74" s="69">
        <v>10</v>
      </c>
      <c r="E74" s="250">
        <v>43487.729166666664</v>
      </c>
      <c r="F74" s="70">
        <v>43487.777777777781</v>
      </c>
      <c r="G74" s="71">
        <v>1.1666666668024845</v>
      </c>
      <c r="H74" s="283" t="s">
        <v>114</v>
      </c>
      <c r="I74" s="69">
        <v>0</v>
      </c>
      <c r="J74" s="72" t="s">
        <v>97</v>
      </c>
      <c r="K74" s="73" t="s">
        <v>109</v>
      </c>
    </row>
    <row r="75" spans="1:11" x14ac:dyDescent="0.25">
      <c r="A75" s="380"/>
      <c r="B75" s="391"/>
      <c r="C75" s="69" t="s">
        <v>2</v>
      </c>
      <c r="D75" s="69">
        <v>6</v>
      </c>
      <c r="E75" s="250">
        <v>43488.820833333331</v>
      </c>
      <c r="F75" s="70">
        <v>43488.868750000001</v>
      </c>
      <c r="G75" s="71">
        <v>1.1500000000814907</v>
      </c>
      <c r="H75" s="283" t="s">
        <v>91</v>
      </c>
      <c r="I75" s="69">
        <v>0</v>
      </c>
      <c r="J75" s="72" t="s">
        <v>90</v>
      </c>
      <c r="K75" s="73" t="s">
        <v>92</v>
      </c>
    </row>
    <row r="76" spans="1:11" x14ac:dyDescent="0.25">
      <c r="A76" s="381"/>
      <c r="B76" s="391"/>
      <c r="C76" s="69" t="s">
        <v>2</v>
      </c>
      <c r="D76" s="69">
        <v>10</v>
      </c>
      <c r="E76" s="250">
        <v>43490.484027777777</v>
      </c>
      <c r="F76" s="70">
        <v>43490.685416666667</v>
      </c>
      <c r="G76" s="71">
        <v>4.8333333333721384</v>
      </c>
      <c r="H76" s="283" t="s">
        <v>104</v>
      </c>
      <c r="I76" s="69">
        <v>0</v>
      </c>
      <c r="J76" s="72" t="s">
        <v>90</v>
      </c>
      <c r="K76" s="73" t="s">
        <v>92</v>
      </c>
    </row>
    <row r="77" spans="1:11" x14ac:dyDescent="0.25">
      <c r="A77" s="381"/>
      <c r="B77" s="391"/>
      <c r="C77" s="69" t="s">
        <v>36</v>
      </c>
      <c r="D77" s="69">
        <v>6</v>
      </c>
      <c r="E77" s="250">
        <v>43494.319444444445</v>
      </c>
      <c r="F77" s="70">
        <v>43494.430555555555</v>
      </c>
      <c r="G77" s="71">
        <v>2.6666666666278616</v>
      </c>
      <c r="H77" s="283" t="s">
        <v>104</v>
      </c>
      <c r="I77" s="69">
        <v>0</v>
      </c>
      <c r="J77" s="72" t="s">
        <v>90</v>
      </c>
      <c r="K77" s="73" t="s">
        <v>92</v>
      </c>
    </row>
    <row r="78" spans="1:11" x14ac:dyDescent="0.25">
      <c r="A78" s="381"/>
      <c r="B78" s="391"/>
      <c r="C78" s="69" t="s">
        <v>2</v>
      </c>
      <c r="D78" s="69">
        <v>10</v>
      </c>
      <c r="E78" s="250">
        <v>43494.590277777781</v>
      </c>
      <c r="F78" s="70">
        <v>43494.666666666664</v>
      </c>
      <c r="G78" s="71">
        <v>1.8333333331975155</v>
      </c>
      <c r="H78" s="283" t="s">
        <v>104</v>
      </c>
      <c r="I78" s="69">
        <v>0</v>
      </c>
      <c r="J78" s="72" t="s">
        <v>90</v>
      </c>
      <c r="K78" s="73" t="s">
        <v>92</v>
      </c>
    </row>
    <row r="79" spans="1:11" x14ac:dyDescent="0.25">
      <c r="A79" s="381"/>
      <c r="B79" s="391"/>
      <c r="C79" s="69" t="s">
        <v>2</v>
      </c>
      <c r="D79" s="69">
        <v>10</v>
      </c>
      <c r="E79" s="250">
        <v>43495.395833333336</v>
      </c>
      <c r="F79" s="70">
        <v>43495.488194444442</v>
      </c>
      <c r="G79" s="71">
        <v>2.2166666665580124</v>
      </c>
      <c r="H79" s="283" t="s">
        <v>116</v>
      </c>
      <c r="I79" s="69">
        <v>1</v>
      </c>
      <c r="J79" s="72" t="s">
        <v>118</v>
      </c>
      <c r="K79" s="73" t="s">
        <v>120</v>
      </c>
    </row>
    <row r="80" spans="1:11" ht="15.75" thickBot="1" x14ac:dyDescent="0.3">
      <c r="A80" s="381"/>
      <c r="B80" s="392"/>
      <c r="C80" s="84" t="s">
        <v>2</v>
      </c>
      <c r="D80" s="84">
        <v>10</v>
      </c>
      <c r="E80" s="261">
        <v>43495.395833333336</v>
      </c>
      <c r="F80" s="116">
        <v>43495.488194444442</v>
      </c>
      <c r="G80" s="85">
        <v>2.2166666665580124</v>
      </c>
      <c r="H80" s="284" t="s">
        <v>117</v>
      </c>
      <c r="I80" s="84">
        <v>1</v>
      </c>
      <c r="J80" s="86" t="s">
        <v>119</v>
      </c>
      <c r="K80" s="87" t="s">
        <v>121</v>
      </c>
    </row>
    <row r="81" spans="1:11" x14ac:dyDescent="0.25">
      <c r="A81" s="381"/>
      <c r="B81" s="395" t="s">
        <v>70</v>
      </c>
      <c r="C81" s="79" t="s">
        <v>36</v>
      </c>
      <c r="D81" s="79">
        <v>10</v>
      </c>
      <c r="E81" s="260">
        <v>43470.538194444445</v>
      </c>
      <c r="F81" s="80">
        <v>43470.645833333336</v>
      </c>
      <c r="G81" s="81">
        <v>2.5833333333721384</v>
      </c>
      <c r="H81" s="282" t="s">
        <v>106</v>
      </c>
      <c r="I81" s="79">
        <v>1</v>
      </c>
      <c r="J81" s="82" t="s">
        <v>90</v>
      </c>
      <c r="K81" s="83" t="s">
        <v>92</v>
      </c>
    </row>
    <row r="82" spans="1:11" x14ac:dyDescent="0.25">
      <c r="A82" s="381"/>
      <c r="B82" s="391"/>
      <c r="C82" s="69" t="s">
        <v>2</v>
      </c>
      <c r="D82" s="69">
        <v>10</v>
      </c>
      <c r="E82" s="250">
        <v>43479.71597222222</v>
      </c>
      <c r="F82" s="70">
        <v>43479.851388888892</v>
      </c>
      <c r="G82" s="71">
        <v>3.2500000001164153</v>
      </c>
      <c r="H82" s="283" t="s">
        <v>105</v>
      </c>
      <c r="I82" s="69">
        <v>0</v>
      </c>
      <c r="J82" s="72" t="s">
        <v>90</v>
      </c>
      <c r="K82" s="73" t="s">
        <v>92</v>
      </c>
    </row>
    <row r="83" spans="1:11" x14ac:dyDescent="0.25">
      <c r="A83" s="381"/>
      <c r="B83" s="391"/>
      <c r="C83" s="69" t="s">
        <v>2</v>
      </c>
      <c r="D83" s="69">
        <v>10</v>
      </c>
      <c r="E83" s="250">
        <v>43485.107638888891</v>
      </c>
      <c r="F83" s="70">
        <v>43485.184027777781</v>
      </c>
      <c r="G83" s="71">
        <v>1.8333333333721384</v>
      </c>
      <c r="H83" s="283" t="s">
        <v>104</v>
      </c>
      <c r="I83" s="69">
        <v>0</v>
      </c>
      <c r="J83" s="72" t="s">
        <v>90</v>
      </c>
      <c r="K83" s="73" t="s">
        <v>92</v>
      </c>
    </row>
    <row r="84" spans="1:11" ht="15.75" thickBot="1" x14ac:dyDescent="0.3">
      <c r="A84" s="381"/>
      <c r="B84" s="392"/>
      <c r="C84" s="84" t="s">
        <v>2</v>
      </c>
      <c r="D84" s="84">
        <v>10</v>
      </c>
      <c r="E84" s="261">
        <v>43488.776388888888</v>
      </c>
      <c r="F84" s="116">
        <v>43488.804861111108</v>
      </c>
      <c r="G84" s="85">
        <v>0.68333333329064772</v>
      </c>
      <c r="H84" s="284" t="s">
        <v>104</v>
      </c>
      <c r="I84" s="84">
        <v>0</v>
      </c>
      <c r="J84" s="86" t="s">
        <v>90</v>
      </c>
      <c r="K84" s="87" t="s">
        <v>92</v>
      </c>
    </row>
    <row r="85" spans="1:11" x14ac:dyDescent="0.25">
      <c r="A85" s="381"/>
      <c r="B85" s="395" t="s">
        <v>71</v>
      </c>
      <c r="C85" s="79" t="s">
        <v>36</v>
      </c>
      <c r="D85" s="79">
        <v>0.4</v>
      </c>
      <c r="E85" s="260">
        <v>43466.540277777778</v>
      </c>
      <c r="F85" s="80">
        <v>43466.632638888892</v>
      </c>
      <c r="G85" s="81">
        <v>2.2166666667326353</v>
      </c>
      <c r="H85" s="282" t="s">
        <v>102</v>
      </c>
      <c r="I85" s="79">
        <v>1</v>
      </c>
      <c r="J85" s="82" t="s">
        <v>97</v>
      </c>
      <c r="K85" s="83" t="s">
        <v>109</v>
      </c>
    </row>
    <row r="86" spans="1:11" x14ac:dyDescent="0.25">
      <c r="A86" s="381"/>
      <c r="B86" s="391"/>
      <c r="C86" s="69" t="s">
        <v>2</v>
      </c>
      <c r="D86" s="69">
        <v>10</v>
      </c>
      <c r="E86" s="250">
        <v>43467.375</v>
      </c>
      <c r="F86" s="70">
        <v>43467.436111111114</v>
      </c>
      <c r="G86" s="71">
        <v>1.4666666667326353</v>
      </c>
      <c r="H86" s="283" t="s">
        <v>115</v>
      </c>
      <c r="I86" s="69">
        <v>1</v>
      </c>
      <c r="J86" s="72" t="s">
        <v>90</v>
      </c>
      <c r="K86" s="73" t="s">
        <v>108</v>
      </c>
    </row>
    <row r="87" spans="1:11" ht="15.75" thickBot="1" x14ac:dyDescent="0.3">
      <c r="A87" s="381"/>
      <c r="B87" s="392"/>
      <c r="C87" s="84" t="s">
        <v>2</v>
      </c>
      <c r="D87" s="84">
        <v>10</v>
      </c>
      <c r="E87" s="261">
        <v>43473.409722222219</v>
      </c>
      <c r="F87" s="116">
        <v>43473.625</v>
      </c>
      <c r="G87" s="85">
        <v>5.1666666667442769</v>
      </c>
      <c r="H87" s="284" t="s">
        <v>115</v>
      </c>
      <c r="I87" s="84">
        <v>1</v>
      </c>
      <c r="J87" s="86" t="s">
        <v>96</v>
      </c>
      <c r="K87" s="87" t="s">
        <v>108</v>
      </c>
    </row>
    <row r="88" spans="1:11" x14ac:dyDescent="0.25">
      <c r="A88" s="382"/>
      <c r="B88" s="395" t="s">
        <v>72</v>
      </c>
      <c r="C88" s="79" t="s">
        <v>2</v>
      </c>
      <c r="D88" s="79">
        <v>10</v>
      </c>
      <c r="E88" s="260">
        <v>43467.652777777781</v>
      </c>
      <c r="F88" s="80">
        <v>43467.829861111109</v>
      </c>
      <c r="G88" s="81">
        <v>4.2499999998835847</v>
      </c>
      <c r="H88" s="282" t="s">
        <v>104</v>
      </c>
      <c r="I88" s="79">
        <v>0</v>
      </c>
      <c r="J88" s="82" t="s">
        <v>90</v>
      </c>
      <c r="K88" s="83" t="s">
        <v>92</v>
      </c>
    </row>
    <row r="89" spans="1:11" x14ac:dyDescent="0.25">
      <c r="A89" s="382"/>
      <c r="B89" s="391"/>
      <c r="C89" s="69" t="s">
        <v>2</v>
      </c>
      <c r="D89" s="69">
        <v>10</v>
      </c>
      <c r="E89" s="250">
        <v>43469.356944444444</v>
      </c>
      <c r="F89" s="70">
        <v>43469.51666666667</v>
      </c>
      <c r="G89" s="71">
        <v>3.8333333334303461</v>
      </c>
      <c r="H89" s="283" t="s">
        <v>104</v>
      </c>
      <c r="I89" s="69">
        <v>0</v>
      </c>
      <c r="J89" s="72" t="s">
        <v>90</v>
      </c>
      <c r="K89" s="73" t="s">
        <v>92</v>
      </c>
    </row>
    <row r="90" spans="1:11" x14ac:dyDescent="0.25">
      <c r="A90" s="382"/>
      <c r="B90" s="391"/>
      <c r="C90" s="69" t="s">
        <v>2</v>
      </c>
      <c r="D90" s="69">
        <v>10</v>
      </c>
      <c r="E90" s="250">
        <v>43472.291666666664</v>
      </c>
      <c r="F90" s="70">
        <v>43472.841666666667</v>
      </c>
      <c r="G90" s="71">
        <v>13.200000000069849</v>
      </c>
      <c r="H90" s="283" t="s">
        <v>105</v>
      </c>
      <c r="I90" s="69">
        <v>0</v>
      </c>
      <c r="J90" s="72" t="s">
        <v>90</v>
      </c>
      <c r="K90" s="73" t="s">
        <v>92</v>
      </c>
    </row>
    <row r="91" spans="1:11" x14ac:dyDescent="0.25">
      <c r="A91" s="382"/>
      <c r="B91" s="391"/>
      <c r="C91" s="69" t="s">
        <v>2</v>
      </c>
      <c r="D91" s="69">
        <v>10</v>
      </c>
      <c r="E91" s="250">
        <v>43472.814583333333</v>
      </c>
      <c r="F91" s="70">
        <v>43473.013888888891</v>
      </c>
      <c r="G91" s="71">
        <v>4.78333333338378</v>
      </c>
      <c r="H91" s="283" t="s">
        <v>104</v>
      </c>
      <c r="I91" s="69">
        <v>0</v>
      </c>
      <c r="J91" s="72" t="s">
        <v>90</v>
      </c>
      <c r="K91" s="73" t="s">
        <v>92</v>
      </c>
    </row>
    <row r="92" spans="1:11" x14ac:dyDescent="0.25">
      <c r="A92" s="382"/>
      <c r="B92" s="391"/>
      <c r="C92" s="69" t="s">
        <v>2</v>
      </c>
      <c r="D92" s="69">
        <v>10</v>
      </c>
      <c r="E92" s="250">
        <v>43474.8125</v>
      </c>
      <c r="F92" s="70">
        <v>43474.899305555555</v>
      </c>
      <c r="G92" s="71">
        <v>2.0833333333139308</v>
      </c>
      <c r="H92" s="283" t="s">
        <v>115</v>
      </c>
      <c r="I92" s="69">
        <v>1</v>
      </c>
      <c r="J92" s="72" t="s">
        <v>90</v>
      </c>
      <c r="K92" s="73" t="s">
        <v>108</v>
      </c>
    </row>
    <row r="93" spans="1:11" x14ac:dyDescent="0.25">
      <c r="A93" s="382"/>
      <c r="B93" s="391"/>
      <c r="C93" s="69" t="s">
        <v>2</v>
      </c>
      <c r="D93" s="69">
        <v>10</v>
      </c>
      <c r="E93" s="250">
        <v>43474.819444444445</v>
      </c>
      <c r="F93" s="70">
        <v>43474.863194444442</v>
      </c>
      <c r="G93" s="71">
        <v>1.0499999999301508</v>
      </c>
      <c r="H93" s="283" t="s">
        <v>115</v>
      </c>
      <c r="I93" s="69">
        <v>1</v>
      </c>
      <c r="J93" s="72" t="s">
        <v>90</v>
      </c>
      <c r="K93" s="73" t="s">
        <v>108</v>
      </c>
    </row>
    <row r="94" spans="1:11" x14ac:dyDescent="0.25">
      <c r="A94" s="382"/>
      <c r="B94" s="391"/>
      <c r="C94" s="69" t="s">
        <v>2</v>
      </c>
      <c r="D94" s="69">
        <v>10</v>
      </c>
      <c r="E94" s="250">
        <v>43476.385416666664</v>
      </c>
      <c r="F94" s="70">
        <v>43476.409722222219</v>
      </c>
      <c r="G94" s="71">
        <v>0.58333333331393078</v>
      </c>
      <c r="H94" s="283" t="s">
        <v>104</v>
      </c>
      <c r="I94" s="69">
        <v>0</v>
      </c>
      <c r="J94" s="72" t="s">
        <v>90</v>
      </c>
      <c r="K94" s="73" t="s">
        <v>92</v>
      </c>
    </row>
    <row r="95" spans="1:11" x14ac:dyDescent="0.25">
      <c r="A95" s="382"/>
      <c r="B95" s="391"/>
      <c r="C95" s="69" t="s">
        <v>2</v>
      </c>
      <c r="D95" s="69">
        <v>10</v>
      </c>
      <c r="E95" s="250">
        <v>43486.333333333336</v>
      </c>
      <c r="F95" s="70">
        <v>43486.724305555559</v>
      </c>
      <c r="G95" s="71">
        <v>9.3833333333604969</v>
      </c>
      <c r="H95" s="283" t="s">
        <v>104</v>
      </c>
      <c r="I95" s="69">
        <v>0</v>
      </c>
      <c r="J95" s="72" t="s">
        <v>90</v>
      </c>
      <c r="K95" s="73" t="s">
        <v>92</v>
      </c>
    </row>
    <row r="96" spans="1:11" x14ac:dyDescent="0.25">
      <c r="A96" s="382"/>
      <c r="B96" s="391"/>
      <c r="C96" s="69" t="s">
        <v>2</v>
      </c>
      <c r="D96" s="69">
        <v>10</v>
      </c>
      <c r="E96" s="250">
        <v>43489.020833333336</v>
      </c>
      <c r="F96" s="70">
        <v>43489.552083333336</v>
      </c>
      <c r="G96" s="71">
        <v>12.75</v>
      </c>
      <c r="H96" s="283" t="s">
        <v>105</v>
      </c>
      <c r="I96" s="69">
        <v>0</v>
      </c>
      <c r="J96" s="72" t="s">
        <v>90</v>
      </c>
      <c r="K96" s="73" t="s">
        <v>92</v>
      </c>
    </row>
    <row r="97" spans="1:11" ht="15.75" thickBot="1" x14ac:dyDescent="0.3">
      <c r="A97" s="383"/>
      <c r="B97" s="396"/>
      <c r="C97" s="74" t="s">
        <v>2</v>
      </c>
      <c r="D97" s="74">
        <v>10</v>
      </c>
      <c r="E97" s="336">
        <v>43493.745833333334</v>
      </c>
      <c r="F97" s="75">
        <v>43493.870833333334</v>
      </c>
      <c r="G97" s="76">
        <v>3</v>
      </c>
      <c r="H97" s="285" t="s">
        <v>104</v>
      </c>
      <c r="I97" s="74">
        <v>0</v>
      </c>
      <c r="J97" s="77" t="s">
        <v>90</v>
      </c>
      <c r="K97" s="78" t="s">
        <v>92</v>
      </c>
    </row>
    <row r="98" spans="1:11" ht="15" customHeight="1" thickTop="1" x14ac:dyDescent="0.25">
      <c r="A98" s="384" t="s">
        <v>44</v>
      </c>
      <c r="B98" s="376" t="s">
        <v>26</v>
      </c>
      <c r="C98" s="59" t="s">
        <v>2</v>
      </c>
      <c r="D98" s="55">
        <v>10</v>
      </c>
      <c r="E98" s="56">
        <v>43476.458333333336</v>
      </c>
      <c r="F98" s="56">
        <v>43476.727777777778</v>
      </c>
      <c r="G98" s="57">
        <v>6.46666666661622</v>
      </c>
      <c r="H98" s="281" t="s">
        <v>104</v>
      </c>
      <c r="I98" s="59">
        <v>0</v>
      </c>
      <c r="J98" s="61" t="s">
        <v>90</v>
      </c>
      <c r="K98" s="259" t="s">
        <v>92</v>
      </c>
    </row>
    <row r="99" spans="1:11" ht="15" customHeight="1" x14ac:dyDescent="0.25">
      <c r="A99" s="385"/>
      <c r="B99" s="377"/>
      <c r="C99" s="100" t="s">
        <v>36</v>
      </c>
      <c r="D99" s="161">
        <v>6</v>
      </c>
      <c r="E99" s="251">
        <v>43480.354166666664</v>
      </c>
      <c r="F99" s="251">
        <v>43480.357638888891</v>
      </c>
      <c r="G99" s="252">
        <v>8.3333333430346102E-2</v>
      </c>
      <c r="H99" s="290" t="s">
        <v>115</v>
      </c>
      <c r="I99" s="100">
        <v>1</v>
      </c>
      <c r="J99" s="103" t="s">
        <v>90</v>
      </c>
      <c r="K99" s="104" t="s">
        <v>108</v>
      </c>
    </row>
    <row r="100" spans="1:11" ht="15" customHeight="1" x14ac:dyDescent="0.25">
      <c r="A100" s="385"/>
      <c r="B100" s="377"/>
      <c r="C100" s="100" t="s">
        <v>2</v>
      </c>
      <c r="D100" s="161">
        <v>10</v>
      </c>
      <c r="E100" s="251">
        <v>43482.736111111109</v>
      </c>
      <c r="F100" s="251">
        <v>43483.03125</v>
      </c>
      <c r="G100" s="252">
        <v>7.0833333333721384</v>
      </c>
      <c r="H100" s="290" t="s">
        <v>104</v>
      </c>
      <c r="I100" s="100">
        <v>0</v>
      </c>
      <c r="J100" s="103" t="s">
        <v>90</v>
      </c>
      <c r="K100" s="104" t="s">
        <v>92</v>
      </c>
    </row>
    <row r="101" spans="1:11" ht="15" customHeight="1" x14ac:dyDescent="0.25">
      <c r="A101" s="385"/>
      <c r="B101" s="377"/>
      <c r="C101" s="100" t="s">
        <v>36</v>
      </c>
      <c r="D101" s="161">
        <v>6</v>
      </c>
      <c r="E101" s="251">
        <v>43487.706250000003</v>
      </c>
      <c r="F101" s="251">
        <v>43487.748611111114</v>
      </c>
      <c r="G101" s="252">
        <v>1.0166666666627862</v>
      </c>
      <c r="H101" s="290" t="s">
        <v>91</v>
      </c>
      <c r="I101" s="100">
        <v>0</v>
      </c>
      <c r="J101" s="103" t="s">
        <v>90</v>
      </c>
      <c r="K101" s="104" t="s">
        <v>92</v>
      </c>
    </row>
    <row r="102" spans="1:11" ht="15" customHeight="1" x14ac:dyDescent="0.25">
      <c r="A102" s="385"/>
      <c r="B102" s="377"/>
      <c r="C102" s="100" t="s">
        <v>2</v>
      </c>
      <c r="D102" s="161">
        <v>10</v>
      </c>
      <c r="E102" s="251">
        <v>43494.600694444445</v>
      </c>
      <c r="F102" s="251">
        <v>43494.642361111109</v>
      </c>
      <c r="G102" s="252">
        <v>0.99999999994179234</v>
      </c>
      <c r="H102" s="290" t="s">
        <v>104</v>
      </c>
      <c r="I102" s="100">
        <v>0</v>
      </c>
      <c r="J102" s="103" t="s">
        <v>90</v>
      </c>
      <c r="K102" s="104" t="s">
        <v>92</v>
      </c>
    </row>
    <row r="103" spans="1:11" ht="15" customHeight="1" x14ac:dyDescent="0.25">
      <c r="A103" s="385"/>
      <c r="B103" s="377"/>
      <c r="C103" s="100" t="s">
        <v>2</v>
      </c>
      <c r="D103" s="161">
        <v>10</v>
      </c>
      <c r="E103" s="251">
        <v>43494.723611111112</v>
      </c>
      <c r="F103" s="251">
        <v>43494.815972222219</v>
      </c>
      <c r="G103" s="252">
        <v>2.2166666665580124</v>
      </c>
      <c r="H103" s="290" t="s">
        <v>104</v>
      </c>
      <c r="I103" s="100">
        <v>0</v>
      </c>
      <c r="J103" s="103" t="s">
        <v>90</v>
      </c>
      <c r="K103" s="104" t="s">
        <v>92</v>
      </c>
    </row>
    <row r="104" spans="1:11" ht="15" customHeight="1" x14ac:dyDescent="0.25">
      <c r="A104" s="385"/>
      <c r="B104" s="377"/>
      <c r="C104" s="100" t="s">
        <v>36</v>
      </c>
      <c r="D104" s="161">
        <v>10</v>
      </c>
      <c r="E104" s="251">
        <v>43494.833333333336</v>
      </c>
      <c r="F104" s="251">
        <v>43495.046527777777</v>
      </c>
      <c r="G104" s="252">
        <v>5.1166666665812954</v>
      </c>
      <c r="H104" s="290" t="s">
        <v>104</v>
      </c>
      <c r="I104" s="100">
        <v>0</v>
      </c>
      <c r="J104" s="103" t="s">
        <v>90</v>
      </c>
      <c r="K104" s="104" t="s">
        <v>92</v>
      </c>
    </row>
    <row r="105" spans="1:11" ht="15.75" thickBot="1" x14ac:dyDescent="0.3">
      <c r="A105" s="385"/>
      <c r="B105" s="378"/>
      <c r="C105" s="51" t="s">
        <v>36</v>
      </c>
      <c r="D105" s="253">
        <v>6</v>
      </c>
      <c r="E105" s="254">
        <v>43495.09375</v>
      </c>
      <c r="F105" s="254">
        <v>43495.284722222219</v>
      </c>
      <c r="G105" s="255">
        <v>4.5833333332557231</v>
      </c>
      <c r="H105" s="291" t="s">
        <v>102</v>
      </c>
      <c r="I105" s="51">
        <v>1</v>
      </c>
      <c r="J105" s="54" t="s">
        <v>97</v>
      </c>
      <c r="K105" s="111" t="s">
        <v>109</v>
      </c>
    </row>
    <row r="106" spans="1:11" x14ac:dyDescent="0.25">
      <c r="A106" s="385"/>
      <c r="B106" s="393" t="s">
        <v>51</v>
      </c>
      <c r="C106" s="47" t="s">
        <v>2</v>
      </c>
      <c r="D106" s="46">
        <v>10</v>
      </c>
      <c r="E106" s="45">
        <v>43466.357638888891</v>
      </c>
      <c r="F106" s="45">
        <v>43466.371527777781</v>
      </c>
      <c r="G106" s="44">
        <v>0.33333333337213844</v>
      </c>
      <c r="H106" s="289" t="s">
        <v>106</v>
      </c>
      <c r="I106" s="47">
        <v>1</v>
      </c>
      <c r="J106" s="50" t="s">
        <v>90</v>
      </c>
      <c r="K106" s="112" t="s">
        <v>92</v>
      </c>
    </row>
    <row r="107" spans="1:11" x14ac:dyDescent="0.25">
      <c r="A107" s="385"/>
      <c r="B107" s="377"/>
      <c r="C107" s="100" t="s">
        <v>2</v>
      </c>
      <c r="D107" s="161">
        <v>10</v>
      </c>
      <c r="E107" s="251">
        <v>43467.784722222219</v>
      </c>
      <c r="F107" s="251">
        <v>43467.818749999999</v>
      </c>
      <c r="G107" s="252">
        <v>0.81666666670935228</v>
      </c>
      <c r="H107" s="290" t="s">
        <v>126</v>
      </c>
      <c r="I107" s="100">
        <v>1</v>
      </c>
      <c r="J107" s="103" t="s">
        <v>90</v>
      </c>
      <c r="K107" s="104" t="s">
        <v>92</v>
      </c>
    </row>
    <row r="108" spans="1:11" x14ac:dyDescent="0.25">
      <c r="A108" s="385"/>
      <c r="B108" s="377"/>
      <c r="C108" s="100" t="s">
        <v>53</v>
      </c>
      <c r="D108" s="161">
        <v>0.4</v>
      </c>
      <c r="E108" s="251">
        <v>43472.84375</v>
      </c>
      <c r="F108" s="251">
        <v>43472.873611111114</v>
      </c>
      <c r="G108" s="252">
        <v>0.71666666673263535</v>
      </c>
      <c r="H108" s="290" t="s">
        <v>126</v>
      </c>
      <c r="I108" s="100">
        <v>1</v>
      </c>
      <c r="J108" s="103" t="s">
        <v>90</v>
      </c>
      <c r="K108" s="104" t="s">
        <v>92</v>
      </c>
    </row>
    <row r="109" spans="1:11" x14ac:dyDescent="0.25">
      <c r="A109" s="385"/>
      <c r="B109" s="377"/>
      <c r="C109" s="100" t="s">
        <v>53</v>
      </c>
      <c r="D109" s="161">
        <v>0.4</v>
      </c>
      <c r="E109" s="251">
        <v>43476.790277777778</v>
      </c>
      <c r="F109" s="251">
        <v>43476.811111111114</v>
      </c>
      <c r="G109" s="252">
        <v>0.50000000005820766</v>
      </c>
      <c r="H109" s="290" t="s">
        <v>126</v>
      </c>
      <c r="I109" s="100">
        <v>1</v>
      </c>
      <c r="J109" s="103" t="s">
        <v>90</v>
      </c>
      <c r="K109" s="104" t="s">
        <v>92</v>
      </c>
    </row>
    <row r="110" spans="1:11" x14ac:dyDescent="0.25">
      <c r="A110" s="385"/>
      <c r="B110" s="377"/>
      <c r="C110" s="100" t="s">
        <v>52</v>
      </c>
      <c r="D110" s="161">
        <v>35</v>
      </c>
      <c r="E110" s="251">
        <v>43479.787499999999</v>
      </c>
      <c r="F110" s="251">
        <v>43479.850694444445</v>
      </c>
      <c r="G110" s="252">
        <v>1.5166666667209938</v>
      </c>
      <c r="H110" s="290" t="s">
        <v>104</v>
      </c>
      <c r="I110" s="100">
        <v>0</v>
      </c>
      <c r="J110" s="103" t="s">
        <v>90</v>
      </c>
      <c r="K110" s="104" t="s">
        <v>92</v>
      </c>
    </row>
    <row r="111" spans="1:11" x14ac:dyDescent="0.25">
      <c r="A111" s="385"/>
      <c r="B111" s="377"/>
      <c r="C111" s="100" t="s">
        <v>2</v>
      </c>
      <c r="D111" s="161">
        <v>0.4</v>
      </c>
      <c r="E111" s="251">
        <v>43482.916666666664</v>
      </c>
      <c r="F111" s="251">
        <v>43482.965277777781</v>
      </c>
      <c r="G111" s="252">
        <v>1.1666666668024845</v>
      </c>
      <c r="H111" s="290" t="s">
        <v>126</v>
      </c>
      <c r="I111" s="100">
        <v>1</v>
      </c>
      <c r="J111" s="103" t="s">
        <v>90</v>
      </c>
      <c r="K111" s="104" t="s">
        <v>92</v>
      </c>
    </row>
    <row r="112" spans="1:11" x14ac:dyDescent="0.25">
      <c r="A112" s="385"/>
      <c r="B112" s="377"/>
      <c r="C112" s="100" t="s">
        <v>52</v>
      </c>
      <c r="D112" s="161">
        <v>35</v>
      </c>
      <c r="E112" s="251">
        <v>43482.944444444445</v>
      </c>
      <c r="F112" s="251">
        <v>43483.098611111112</v>
      </c>
      <c r="G112" s="252">
        <v>3.7000000000116415</v>
      </c>
      <c r="H112" s="290" t="s">
        <v>130</v>
      </c>
      <c r="I112" s="100">
        <v>0</v>
      </c>
      <c r="J112" s="103" t="s">
        <v>90</v>
      </c>
      <c r="K112" s="104" t="s">
        <v>92</v>
      </c>
    </row>
    <row r="113" spans="1:11" x14ac:dyDescent="0.25">
      <c r="A113" s="385"/>
      <c r="B113" s="377"/>
      <c r="C113" s="100" t="s">
        <v>2</v>
      </c>
      <c r="D113" s="161">
        <v>10</v>
      </c>
      <c r="E113" s="251">
        <v>43484.67083333333</v>
      </c>
      <c r="F113" s="251">
        <v>43484.772222222222</v>
      </c>
      <c r="G113" s="252">
        <v>2.433333333407063</v>
      </c>
      <c r="H113" s="290" t="s">
        <v>127</v>
      </c>
      <c r="I113" s="100">
        <v>1</v>
      </c>
      <c r="J113" s="103" t="s">
        <v>128</v>
      </c>
      <c r="K113" s="104" t="s">
        <v>129</v>
      </c>
    </row>
    <row r="114" spans="1:11" x14ac:dyDescent="0.25">
      <c r="A114" s="385"/>
      <c r="B114" s="377"/>
      <c r="C114" s="100" t="s">
        <v>53</v>
      </c>
      <c r="D114" s="161">
        <v>0.4</v>
      </c>
      <c r="E114" s="251">
        <v>43484.885416666664</v>
      </c>
      <c r="F114" s="251">
        <v>43484.901388888888</v>
      </c>
      <c r="G114" s="252">
        <v>0.38333333336049691</v>
      </c>
      <c r="H114" s="290" t="s">
        <v>126</v>
      </c>
      <c r="I114" s="100">
        <v>1</v>
      </c>
      <c r="J114" s="103" t="s">
        <v>90</v>
      </c>
      <c r="K114" s="104" t="s">
        <v>92</v>
      </c>
    </row>
    <row r="115" spans="1:11" x14ac:dyDescent="0.25">
      <c r="A115" s="385"/>
      <c r="B115" s="377"/>
      <c r="C115" s="100" t="s">
        <v>2</v>
      </c>
      <c r="D115" s="161">
        <v>0.4</v>
      </c>
      <c r="E115" s="251">
        <v>43485.513888888891</v>
      </c>
      <c r="F115" s="251">
        <v>43485.538194444445</v>
      </c>
      <c r="G115" s="252">
        <v>0.58333333331393078</v>
      </c>
      <c r="H115" s="290" t="s">
        <v>126</v>
      </c>
      <c r="I115" s="100">
        <v>1</v>
      </c>
      <c r="J115" s="103" t="s">
        <v>90</v>
      </c>
      <c r="K115" s="104" t="s">
        <v>92</v>
      </c>
    </row>
    <row r="116" spans="1:11" x14ac:dyDescent="0.25">
      <c r="A116" s="385"/>
      <c r="B116" s="377"/>
      <c r="C116" s="100" t="s">
        <v>52</v>
      </c>
      <c r="D116" s="161">
        <v>35</v>
      </c>
      <c r="E116" s="251">
        <v>43487.70416666667</v>
      </c>
      <c r="F116" s="251">
        <v>43487.727083333331</v>
      </c>
      <c r="G116" s="252">
        <v>0.54999999987194315</v>
      </c>
      <c r="H116" s="290" t="s">
        <v>104</v>
      </c>
      <c r="I116" s="100">
        <v>0</v>
      </c>
      <c r="J116" s="103" t="s">
        <v>90</v>
      </c>
      <c r="K116" s="104" t="s">
        <v>92</v>
      </c>
    </row>
    <row r="117" spans="1:11" x14ac:dyDescent="0.25">
      <c r="A117" s="385"/>
      <c r="B117" s="377"/>
      <c r="C117" s="100" t="s">
        <v>2</v>
      </c>
      <c r="D117" s="161">
        <v>0.4</v>
      </c>
      <c r="E117" s="251">
        <v>43487.986111111109</v>
      </c>
      <c r="F117" s="251">
        <v>43488</v>
      </c>
      <c r="G117" s="252">
        <v>0.33333333337213844</v>
      </c>
      <c r="H117" s="290" t="s">
        <v>126</v>
      </c>
      <c r="I117" s="100">
        <v>1</v>
      </c>
      <c r="J117" s="103" t="s">
        <v>90</v>
      </c>
      <c r="K117" s="104" t="s">
        <v>92</v>
      </c>
    </row>
    <row r="118" spans="1:11" x14ac:dyDescent="0.25">
      <c r="A118" s="385"/>
      <c r="B118" s="377"/>
      <c r="C118" s="100" t="s">
        <v>2</v>
      </c>
      <c r="D118" s="161">
        <v>0.4</v>
      </c>
      <c r="E118" s="251">
        <v>43488.810416666667</v>
      </c>
      <c r="F118" s="251">
        <v>43488.822916666664</v>
      </c>
      <c r="G118" s="252">
        <v>0.29999999993015081</v>
      </c>
      <c r="H118" s="290" t="s">
        <v>126</v>
      </c>
      <c r="I118" s="100">
        <v>1</v>
      </c>
      <c r="J118" s="103" t="s">
        <v>90</v>
      </c>
      <c r="K118" s="104" t="s">
        <v>92</v>
      </c>
    </row>
    <row r="119" spans="1:11" x14ac:dyDescent="0.25">
      <c r="A119" s="385"/>
      <c r="B119" s="377"/>
      <c r="C119" s="100" t="s">
        <v>52</v>
      </c>
      <c r="D119" s="161">
        <v>35</v>
      </c>
      <c r="E119" s="251">
        <v>43488.906944444447</v>
      </c>
      <c r="F119" s="251">
        <v>43488.932638888888</v>
      </c>
      <c r="G119" s="252">
        <v>0.61666666658129543</v>
      </c>
      <c r="H119" s="290" t="s">
        <v>104</v>
      </c>
      <c r="I119" s="100">
        <v>0</v>
      </c>
      <c r="J119" s="103" t="s">
        <v>90</v>
      </c>
      <c r="K119" s="104" t="s">
        <v>92</v>
      </c>
    </row>
    <row r="120" spans="1:11" x14ac:dyDescent="0.25">
      <c r="A120" s="385"/>
      <c r="B120" s="377"/>
      <c r="C120" s="100" t="s">
        <v>52</v>
      </c>
      <c r="D120" s="161">
        <v>35</v>
      </c>
      <c r="E120" s="251">
        <v>43488.979166666664</v>
      </c>
      <c r="F120" s="251">
        <v>43489.004166666666</v>
      </c>
      <c r="G120" s="252">
        <v>0.6000000000349246</v>
      </c>
      <c r="H120" s="290" t="s">
        <v>104</v>
      </c>
      <c r="I120" s="100">
        <v>0</v>
      </c>
      <c r="J120" s="103" t="s">
        <v>90</v>
      </c>
      <c r="K120" s="104" t="s">
        <v>92</v>
      </c>
    </row>
    <row r="121" spans="1:11" x14ac:dyDescent="0.25">
      <c r="A121" s="385"/>
      <c r="B121" s="377"/>
      <c r="C121" s="100" t="s">
        <v>2</v>
      </c>
      <c r="D121" s="161">
        <v>0.4</v>
      </c>
      <c r="E121" s="251">
        <v>43489.972916666666</v>
      </c>
      <c r="F121" s="251">
        <v>43489.982638888891</v>
      </c>
      <c r="G121" s="252">
        <v>0.2333333333954215</v>
      </c>
      <c r="H121" s="290" t="s">
        <v>126</v>
      </c>
      <c r="I121" s="100">
        <v>1</v>
      </c>
      <c r="J121" s="103" t="s">
        <v>90</v>
      </c>
      <c r="K121" s="104" t="s">
        <v>92</v>
      </c>
    </row>
    <row r="122" spans="1:11" x14ac:dyDescent="0.25">
      <c r="A122" s="385"/>
      <c r="B122" s="377"/>
      <c r="C122" s="100" t="s">
        <v>2</v>
      </c>
      <c r="D122" s="161">
        <v>0.4</v>
      </c>
      <c r="E122" s="251">
        <v>43491.567361111112</v>
      </c>
      <c r="F122" s="251">
        <v>43491.597916666666</v>
      </c>
      <c r="G122" s="252">
        <v>0.73333333327900618</v>
      </c>
      <c r="H122" s="290" t="s">
        <v>126</v>
      </c>
      <c r="I122" s="100">
        <v>1</v>
      </c>
      <c r="J122" s="103" t="s">
        <v>90</v>
      </c>
      <c r="K122" s="104" t="s">
        <v>92</v>
      </c>
    </row>
    <row r="123" spans="1:11" ht="15.75" thickBot="1" x14ac:dyDescent="0.3">
      <c r="A123" s="385"/>
      <c r="B123" s="378"/>
      <c r="C123" s="51" t="s">
        <v>2</v>
      </c>
      <c r="D123" s="253">
        <v>0.4</v>
      </c>
      <c r="E123" s="254">
        <v>43492.515972222223</v>
      </c>
      <c r="F123" s="254">
        <v>43492.568055555559</v>
      </c>
      <c r="G123" s="255">
        <v>1.2500000000582077</v>
      </c>
      <c r="H123" s="291" t="s">
        <v>126</v>
      </c>
      <c r="I123" s="51">
        <v>1</v>
      </c>
      <c r="J123" s="54" t="s">
        <v>90</v>
      </c>
      <c r="K123" s="111" t="s">
        <v>92</v>
      </c>
    </row>
    <row r="124" spans="1:11" x14ac:dyDescent="0.25">
      <c r="A124" s="385"/>
      <c r="B124" s="387" t="s">
        <v>27</v>
      </c>
      <c r="C124" s="46" t="s">
        <v>2</v>
      </c>
      <c r="D124" s="46">
        <v>6</v>
      </c>
      <c r="E124" s="45">
        <v>43466.538194444445</v>
      </c>
      <c r="F124" s="45">
        <v>43466.626388888886</v>
      </c>
      <c r="G124" s="44">
        <v>2.1166666665812954</v>
      </c>
      <c r="H124" s="289" t="s">
        <v>106</v>
      </c>
      <c r="I124" s="47">
        <v>1</v>
      </c>
      <c r="J124" s="50" t="s">
        <v>90</v>
      </c>
      <c r="K124" s="112" t="s">
        <v>92</v>
      </c>
    </row>
    <row r="125" spans="1:11" x14ac:dyDescent="0.25">
      <c r="A125" s="385"/>
      <c r="B125" s="388"/>
      <c r="C125" s="161" t="s">
        <v>36</v>
      </c>
      <c r="D125" s="161">
        <v>10</v>
      </c>
      <c r="E125" s="251">
        <v>43472.106249999997</v>
      </c>
      <c r="F125" s="251">
        <v>43472.316666666666</v>
      </c>
      <c r="G125" s="252">
        <v>5.0500000000465661</v>
      </c>
      <c r="H125" s="290" t="s">
        <v>102</v>
      </c>
      <c r="I125" s="100">
        <v>1</v>
      </c>
      <c r="J125" s="103" t="s">
        <v>97</v>
      </c>
      <c r="K125" s="104" t="s">
        <v>109</v>
      </c>
    </row>
    <row r="126" spans="1:11" x14ac:dyDescent="0.25">
      <c r="A126" s="385"/>
      <c r="B126" s="388"/>
      <c r="C126" s="161" t="s">
        <v>36</v>
      </c>
      <c r="D126" s="161">
        <v>10</v>
      </c>
      <c r="E126" s="251">
        <v>43474.958333333336</v>
      </c>
      <c r="F126" s="251">
        <v>43475.586805555555</v>
      </c>
      <c r="G126" s="252">
        <v>15.083333333255723</v>
      </c>
      <c r="H126" s="290" t="s">
        <v>107</v>
      </c>
      <c r="I126" s="100">
        <v>1</v>
      </c>
      <c r="J126" s="103" t="s">
        <v>96</v>
      </c>
      <c r="K126" s="104" t="s">
        <v>108</v>
      </c>
    </row>
    <row r="127" spans="1:11" x14ac:dyDescent="0.25">
      <c r="A127" s="385"/>
      <c r="B127" s="388"/>
      <c r="C127" s="161" t="s">
        <v>2</v>
      </c>
      <c r="D127" s="161">
        <v>10</v>
      </c>
      <c r="E127" s="251">
        <v>43481.422222222223</v>
      </c>
      <c r="F127" s="251">
        <v>43481.450694444444</v>
      </c>
      <c r="G127" s="252">
        <v>0.68333333329064772</v>
      </c>
      <c r="H127" s="290" t="s">
        <v>104</v>
      </c>
      <c r="I127" s="100">
        <v>0</v>
      </c>
      <c r="J127" s="103" t="s">
        <v>90</v>
      </c>
      <c r="K127" s="104" t="s">
        <v>92</v>
      </c>
    </row>
    <row r="128" spans="1:11" x14ac:dyDescent="0.25">
      <c r="A128" s="385"/>
      <c r="B128" s="388"/>
      <c r="C128" s="161" t="s">
        <v>2</v>
      </c>
      <c r="D128" s="161">
        <v>10</v>
      </c>
      <c r="E128" s="251">
        <v>43481.490972222222</v>
      </c>
      <c r="F128" s="251">
        <v>43481.534722222219</v>
      </c>
      <c r="G128" s="252">
        <v>1.0499999999301508</v>
      </c>
      <c r="H128" s="290" t="s">
        <v>104</v>
      </c>
      <c r="I128" s="100">
        <v>0</v>
      </c>
      <c r="J128" s="103" t="s">
        <v>90</v>
      </c>
      <c r="K128" s="104" t="s">
        <v>92</v>
      </c>
    </row>
    <row r="129" spans="1:11" x14ac:dyDescent="0.25">
      <c r="A129" s="385"/>
      <c r="B129" s="388"/>
      <c r="C129" s="161" t="s">
        <v>2</v>
      </c>
      <c r="D129" s="161">
        <v>10</v>
      </c>
      <c r="E129" s="251">
        <v>43489.079861111109</v>
      </c>
      <c r="F129" s="251">
        <v>43489.493055555555</v>
      </c>
      <c r="G129" s="252">
        <v>9.9166666666860692</v>
      </c>
      <c r="H129" s="290" t="s">
        <v>115</v>
      </c>
      <c r="I129" s="100">
        <v>1</v>
      </c>
      <c r="J129" s="103" t="s">
        <v>90</v>
      </c>
      <c r="K129" s="104" t="s">
        <v>108</v>
      </c>
    </row>
    <row r="130" spans="1:11" x14ac:dyDescent="0.25">
      <c r="A130" s="385"/>
      <c r="B130" s="388"/>
      <c r="C130" s="161" t="s">
        <v>52</v>
      </c>
      <c r="D130" s="161">
        <v>6</v>
      </c>
      <c r="E130" s="251">
        <v>43492.556944444441</v>
      </c>
      <c r="F130" s="251">
        <v>43492.604166666664</v>
      </c>
      <c r="G130" s="252">
        <v>1.1333333333604969</v>
      </c>
      <c r="H130" s="290" t="s">
        <v>104</v>
      </c>
      <c r="I130" s="100">
        <v>0</v>
      </c>
      <c r="J130" s="103" t="s">
        <v>90</v>
      </c>
      <c r="K130" s="104" t="s">
        <v>92</v>
      </c>
    </row>
    <row r="131" spans="1:11" x14ac:dyDescent="0.25">
      <c r="A131" s="385"/>
      <c r="B131" s="388"/>
      <c r="C131" s="161" t="s">
        <v>2</v>
      </c>
      <c r="D131" s="161">
        <v>10</v>
      </c>
      <c r="E131" s="251">
        <v>43495.239583333336</v>
      </c>
      <c r="F131" s="251">
        <v>43495.319444444445</v>
      </c>
      <c r="G131" s="252">
        <v>1.9166666666278616</v>
      </c>
      <c r="H131" s="290" t="s">
        <v>102</v>
      </c>
      <c r="I131" s="100">
        <v>1</v>
      </c>
      <c r="J131" s="103" t="s">
        <v>97</v>
      </c>
      <c r="K131" s="104" t="s">
        <v>109</v>
      </c>
    </row>
    <row r="132" spans="1:11" ht="15.75" thickBot="1" x14ac:dyDescent="0.3">
      <c r="A132" s="386"/>
      <c r="B132" s="389"/>
      <c r="C132" s="274" t="s">
        <v>36</v>
      </c>
      <c r="D132" s="274">
        <v>10</v>
      </c>
      <c r="E132" s="275">
        <v>43496.092361111114</v>
      </c>
      <c r="F132" s="275">
        <v>43496.137499999997</v>
      </c>
      <c r="G132" s="276">
        <v>1.0833333331975155</v>
      </c>
      <c r="H132" s="298" t="s">
        <v>102</v>
      </c>
      <c r="I132" s="117">
        <v>1</v>
      </c>
      <c r="J132" s="120" t="s">
        <v>97</v>
      </c>
      <c r="K132" s="121" t="s">
        <v>109</v>
      </c>
    </row>
    <row r="133" spans="1:11" ht="15.75" thickTop="1" x14ac:dyDescent="0.25">
      <c r="A133" s="369" t="s">
        <v>42</v>
      </c>
      <c r="B133" s="390" t="s">
        <v>74</v>
      </c>
      <c r="C133" s="64" t="s">
        <v>36</v>
      </c>
      <c r="D133" s="64">
        <v>6</v>
      </c>
      <c r="E133" s="65">
        <v>43480.149305555555</v>
      </c>
      <c r="F133" s="65">
        <v>43480.472916666666</v>
      </c>
      <c r="G133" s="66">
        <v>7.7666666666627862</v>
      </c>
      <c r="H133" s="303" t="s">
        <v>115</v>
      </c>
      <c r="I133" s="64">
        <v>1</v>
      </c>
      <c r="J133" s="67" t="s">
        <v>90</v>
      </c>
      <c r="K133" s="68" t="s">
        <v>108</v>
      </c>
    </row>
    <row r="134" spans="1:11" x14ac:dyDescent="0.25">
      <c r="A134" s="370"/>
      <c r="B134" s="391"/>
      <c r="C134" s="69" t="s">
        <v>36</v>
      </c>
      <c r="D134" s="69">
        <v>6</v>
      </c>
      <c r="E134" s="70">
        <v>43490.576388888891</v>
      </c>
      <c r="F134" s="70">
        <v>43490.592361111114</v>
      </c>
      <c r="G134" s="71">
        <v>0.38333333336049691</v>
      </c>
      <c r="H134" s="283" t="s">
        <v>91</v>
      </c>
      <c r="I134" s="69">
        <v>0</v>
      </c>
      <c r="J134" s="72" t="s">
        <v>90</v>
      </c>
      <c r="K134" s="73" t="s">
        <v>92</v>
      </c>
    </row>
    <row r="135" spans="1:11" ht="15.75" thickBot="1" x14ac:dyDescent="0.3">
      <c r="A135" s="370"/>
      <c r="B135" s="392"/>
      <c r="C135" s="84" t="s">
        <v>36</v>
      </c>
      <c r="D135" s="84">
        <v>6</v>
      </c>
      <c r="E135" s="116">
        <v>43493.357638888891</v>
      </c>
      <c r="F135" s="116">
        <v>43493.361111111109</v>
      </c>
      <c r="G135" s="85">
        <v>8.3333333255723119E-2</v>
      </c>
      <c r="H135" s="284" t="s">
        <v>102</v>
      </c>
      <c r="I135" s="84">
        <v>1</v>
      </c>
      <c r="J135" s="86" t="s">
        <v>97</v>
      </c>
      <c r="K135" s="87" t="s">
        <v>109</v>
      </c>
    </row>
    <row r="136" spans="1:11" x14ac:dyDescent="0.25">
      <c r="A136" s="370"/>
      <c r="B136" s="395" t="s">
        <v>75</v>
      </c>
      <c r="C136" s="79" t="s">
        <v>2</v>
      </c>
      <c r="D136" s="79">
        <v>10</v>
      </c>
      <c r="E136" s="80">
        <v>43482.888888888891</v>
      </c>
      <c r="F136" s="80">
        <v>43483.145833333336</v>
      </c>
      <c r="G136" s="81">
        <v>6.1666666666860692</v>
      </c>
      <c r="H136" s="282" t="s">
        <v>106</v>
      </c>
      <c r="I136" s="79">
        <v>1</v>
      </c>
      <c r="J136" s="82" t="s">
        <v>90</v>
      </c>
      <c r="K136" s="83" t="s">
        <v>92</v>
      </c>
    </row>
    <row r="137" spans="1:11" x14ac:dyDescent="0.25">
      <c r="A137" s="370"/>
      <c r="B137" s="391"/>
      <c r="C137" s="69" t="s">
        <v>2</v>
      </c>
      <c r="D137" s="69">
        <v>10</v>
      </c>
      <c r="E137" s="70">
        <v>43482.892361111109</v>
      </c>
      <c r="F137" s="70">
        <v>43482.902777777781</v>
      </c>
      <c r="G137" s="71">
        <v>0.25000000011641532</v>
      </c>
      <c r="H137" s="283" t="s">
        <v>106</v>
      </c>
      <c r="I137" s="69">
        <v>1</v>
      </c>
      <c r="J137" s="72" t="s">
        <v>90</v>
      </c>
      <c r="K137" s="73" t="s">
        <v>92</v>
      </c>
    </row>
    <row r="138" spans="1:11" x14ac:dyDescent="0.25">
      <c r="A138" s="370"/>
      <c r="B138" s="391"/>
      <c r="C138" s="69" t="s">
        <v>2</v>
      </c>
      <c r="D138" s="69">
        <v>10</v>
      </c>
      <c r="E138" s="70">
        <v>43486.628472222219</v>
      </c>
      <c r="F138" s="70">
        <v>43486.746527777781</v>
      </c>
      <c r="G138" s="71">
        <v>2.8333333334885538</v>
      </c>
      <c r="H138" s="283" t="s">
        <v>115</v>
      </c>
      <c r="I138" s="69">
        <v>1</v>
      </c>
      <c r="J138" s="72" t="s">
        <v>90</v>
      </c>
      <c r="K138" s="73" t="s">
        <v>108</v>
      </c>
    </row>
    <row r="139" spans="1:11" x14ac:dyDescent="0.25">
      <c r="A139" s="370"/>
      <c r="B139" s="391"/>
      <c r="C139" s="72" t="s">
        <v>36</v>
      </c>
      <c r="D139" s="69">
        <v>10</v>
      </c>
      <c r="E139" s="70">
        <v>43487.670138888891</v>
      </c>
      <c r="F139" s="70">
        <v>43487.694444444445</v>
      </c>
      <c r="G139" s="71">
        <v>0.58333333331393078</v>
      </c>
      <c r="H139" s="283" t="s">
        <v>102</v>
      </c>
      <c r="I139" s="69">
        <v>1</v>
      </c>
      <c r="J139" s="72" t="s">
        <v>97</v>
      </c>
      <c r="K139" s="73" t="s">
        <v>109</v>
      </c>
    </row>
    <row r="140" spans="1:11" ht="15.75" thickBot="1" x14ac:dyDescent="0.3">
      <c r="A140" s="370"/>
      <c r="B140" s="392"/>
      <c r="C140" s="84" t="s">
        <v>2</v>
      </c>
      <c r="D140" s="84">
        <v>10</v>
      </c>
      <c r="E140" s="116">
        <v>43494.680555555555</v>
      </c>
      <c r="F140" s="116">
        <v>43494.701388888891</v>
      </c>
      <c r="G140" s="85">
        <v>0.50000000005820766</v>
      </c>
      <c r="H140" s="284" t="s">
        <v>115</v>
      </c>
      <c r="I140" s="84">
        <v>1</v>
      </c>
      <c r="J140" s="86" t="s">
        <v>90</v>
      </c>
      <c r="K140" s="87" t="s">
        <v>108</v>
      </c>
    </row>
    <row r="141" spans="1:11" x14ac:dyDescent="0.25">
      <c r="A141" s="370"/>
      <c r="B141" s="395" t="s">
        <v>73</v>
      </c>
      <c r="C141" s="79" t="s">
        <v>36</v>
      </c>
      <c r="D141" s="79">
        <v>6</v>
      </c>
      <c r="E141" s="80">
        <v>43469.222222222219</v>
      </c>
      <c r="F141" s="80">
        <v>43469.284722222219</v>
      </c>
      <c r="G141" s="81">
        <v>1.5</v>
      </c>
      <c r="H141" s="282" t="s">
        <v>102</v>
      </c>
      <c r="I141" s="79">
        <v>1</v>
      </c>
      <c r="J141" s="82" t="s">
        <v>97</v>
      </c>
      <c r="K141" s="83" t="s">
        <v>109</v>
      </c>
    </row>
    <row r="142" spans="1:11" ht="15.75" thickBot="1" x14ac:dyDescent="0.3">
      <c r="A142" s="370"/>
      <c r="B142" s="392"/>
      <c r="C142" s="84" t="s">
        <v>36</v>
      </c>
      <c r="D142" s="84">
        <v>6</v>
      </c>
      <c r="E142" s="116">
        <v>43491.326388888891</v>
      </c>
      <c r="F142" s="116">
        <v>43491.392361111109</v>
      </c>
      <c r="G142" s="85">
        <v>1.5833333332557231</v>
      </c>
      <c r="H142" s="284" t="s">
        <v>102</v>
      </c>
      <c r="I142" s="84">
        <v>1</v>
      </c>
      <c r="J142" s="86" t="s">
        <v>97</v>
      </c>
      <c r="K142" s="87" t="s">
        <v>109</v>
      </c>
    </row>
    <row r="143" spans="1:11" x14ac:dyDescent="0.25">
      <c r="A143" s="370"/>
      <c r="B143" s="395" t="s">
        <v>23</v>
      </c>
      <c r="C143" s="79" t="s">
        <v>2</v>
      </c>
      <c r="D143" s="79">
        <v>10</v>
      </c>
      <c r="E143" s="80">
        <v>43466.572916666664</v>
      </c>
      <c r="F143" s="80">
        <v>43467.211805555555</v>
      </c>
      <c r="G143" s="81">
        <v>15.333333333372138</v>
      </c>
      <c r="H143" s="282" t="s">
        <v>104</v>
      </c>
      <c r="I143" s="79">
        <v>0</v>
      </c>
      <c r="J143" s="82" t="s">
        <v>90</v>
      </c>
      <c r="K143" s="83" t="s">
        <v>92</v>
      </c>
    </row>
    <row r="144" spans="1:11" x14ac:dyDescent="0.25">
      <c r="A144" s="370"/>
      <c r="B144" s="391"/>
      <c r="C144" s="69" t="s">
        <v>2</v>
      </c>
      <c r="D144" s="69">
        <v>10</v>
      </c>
      <c r="E144" s="70">
        <v>43467.465277777781</v>
      </c>
      <c r="F144" s="70">
        <v>43467.579861111109</v>
      </c>
      <c r="G144" s="71">
        <v>2.7499999998835847</v>
      </c>
      <c r="H144" s="283" t="s">
        <v>102</v>
      </c>
      <c r="I144" s="69">
        <v>1</v>
      </c>
      <c r="J144" s="72" t="s">
        <v>97</v>
      </c>
      <c r="K144" s="73" t="s">
        <v>109</v>
      </c>
    </row>
    <row r="145" spans="1:11" x14ac:dyDescent="0.25">
      <c r="A145" s="370"/>
      <c r="B145" s="391"/>
      <c r="C145" s="69" t="s">
        <v>2</v>
      </c>
      <c r="D145" s="69">
        <v>10</v>
      </c>
      <c r="E145" s="70">
        <v>43476.375</v>
      </c>
      <c r="F145" s="70">
        <v>43476.384027777778</v>
      </c>
      <c r="G145" s="71">
        <v>0.21666666667442769</v>
      </c>
      <c r="H145" s="283" t="s">
        <v>104</v>
      </c>
      <c r="I145" s="69">
        <v>0</v>
      </c>
      <c r="J145" s="72" t="s">
        <v>90</v>
      </c>
      <c r="K145" s="73" t="s">
        <v>92</v>
      </c>
    </row>
    <row r="146" spans="1:11" x14ac:dyDescent="0.25">
      <c r="A146" s="370"/>
      <c r="B146" s="391"/>
      <c r="C146" s="69" t="s">
        <v>2</v>
      </c>
      <c r="D146" s="69">
        <v>10</v>
      </c>
      <c r="E146" s="70">
        <v>43480.260416666664</v>
      </c>
      <c r="F146" s="70">
        <v>43480.61041666667</v>
      </c>
      <c r="G146" s="71">
        <v>8.4000000001396984</v>
      </c>
      <c r="H146" s="283" t="s">
        <v>104</v>
      </c>
      <c r="I146" s="69">
        <v>0</v>
      </c>
      <c r="J146" s="72" t="s">
        <v>90</v>
      </c>
      <c r="K146" s="73" t="s">
        <v>92</v>
      </c>
    </row>
    <row r="147" spans="1:11" x14ac:dyDescent="0.25">
      <c r="A147" s="370"/>
      <c r="B147" s="391"/>
      <c r="C147" s="69" t="s">
        <v>2</v>
      </c>
      <c r="D147" s="69">
        <v>10</v>
      </c>
      <c r="E147" s="70">
        <v>43481.226388888892</v>
      </c>
      <c r="F147" s="70">
        <v>43481.246527777781</v>
      </c>
      <c r="G147" s="71">
        <v>0.48333333333721384</v>
      </c>
      <c r="H147" s="283" t="s">
        <v>104</v>
      </c>
      <c r="I147" s="69">
        <v>0</v>
      </c>
      <c r="J147" s="72" t="s">
        <v>90</v>
      </c>
      <c r="K147" s="73" t="s">
        <v>92</v>
      </c>
    </row>
    <row r="148" spans="1:11" x14ac:dyDescent="0.25">
      <c r="A148" s="370"/>
      <c r="B148" s="391"/>
      <c r="C148" s="69" t="s">
        <v>2</v>
      </c>
      <c r="D148" s="69">
        <v>10</v>
      </c>
      <c r="E148" s="70">
        <v>43488.260416666664</v>
      </c>
      <c r="F148" s="70">
        <v>43488.275694444441</v>
      </c>
      <c r="G148" s="71">
        <v>0.36666666663950309</v>
      </c>
      <c r="H148" s="283" t="s">
        <v>104</v>
      </c>
      <c r="I148" s="69">
        <v>0</v>
      </c>
      <c r="J148" s="72" t="s">
        <v>90</v>
      </c>
      <c r="K148" s="73" t="s">
        <v>92</v>
      </c>
    </row>
    <row r="149" spans="1:11" ht="15.75" thickBot="1" x14ac:dyDescent="0.3">
      <c r="A149" s="371"/>
      <c r="B149" s="396"/>
      <c r="C149" s="74" t="s">
        <v>2</v>
      </c>
      <c r="D149" s="74">
        <v>10</v>
      </c>
      <c r="E149" s="75">
        <v>43488.329861111109</v>
      </c>
      <c r="F149" s="75">
        <v>43488.416666666664</v>
      </c>
      <c r="G149" s="76">
        <v>2.0833333333139308</v>
      </c>
      <c r="H149" s="285" t="s">
        <v>104</v>
      </c>
      <c r="I149" s="74">
        <v>0</v>
      </c>
      <c r="J149" s="77" t="s">
        <v>90</v>
      </c>
      <c r="K149" s="78" t="s">
        <v>92</v>
      </c>
    </row>
    <row r="150" spans="1:11" ht="15.75" thickTop="1" x14ac:dyDescent="0.25"/>
    <row r="153" spans="1:11" ht="105" customHeight="1" x14ac:dyDescent="0.25">
      <c r="A153" s="372" t="s">
        <v>39</v>
      </c>
      <c r="B153" s="372"/>
      <c r="C153" s="372"/>
      <c r="D153" s="372"/>
      <c r="E153" s="372"/>
      <c r="F153" s="372"/>
      <c r="G153" s="372"/>
      <c r="H153" s="372"/>
      <c r="I153" s="372"/>
      <c r="J153" s="372"/>
      <c r="K153" s="372"/>
    </row>
  </sheetData>
  <autoFilter ref="A2:K149"/>
  <mergeCells count="29">
    <mergeCell ref="B1:J1"/>
    <mergeCell ref="M2:O2"/>
    <mergeCell ref="B141:B142"/>
    <mergeCell ref="B136:B140"/>
    <mergeCell ref="B106:B123"/>
    <mergeCell ref="B4:B6"/>
    <mergeCell ref="B8:B15"/>
    <mergeCell ref="B16:B18"/>
    <mergeCell ref="B30:B31"/>
    <mergeCell ref="A3:A20"/>
    <mergeCell ref="A21:A48"/>
    <mergeCell ref="B32:B43"/>
    <mergeCell ref="B44:B48"/>
    <mergeCell ref="B21:B29"/>
    <mergeCell ref="A133:A149"/>
    <mergeCell ref="A153:K153"/>
    <mergeCell ref="A49:A68"/>
    <mergeCell ref="B49:B60"/>
    <mergeCell ref="A69:A97"/>
    <mergeCell ref="A98:A132"/>
    <mergeCell ref="B124:B132"/>
    <mergeCell ref="B133:B135"/>
    <mergeCell ref="B98:B105"/>
    <mergeCell ref="B61:B68"/>
    <mergeCell ref="B69:B80"/>
    <mergeCell ref="B81:B84"/>
    <mergeCell ref="B143:B149"/>
    <mergeCell ref="B85:B87"/>
    <mergeCell ref="B88:B97"/>
  </mergeCells>
  <dataValidations count="6">
    <dataValidation type="list" allowBlank="1" showInputMessage="1" showErrorMessage="1" sqref="J3:J66 J68:J149">
      <formula1>"Кабель,Провод,Опора,Изолятор, Контакт.соед,Трансформатор,ТТ,ТН,Выключатель,Разъединитель,ВН,Рубильник,АВ,Разрядник,ОПН,-,"</formula1>
    </dataValidation>
    <dataValidation type="list" allowBlank="1" showInputMessage="1" showErrorMessage="1" sqref="J67">
      <formula1>"Кабель, Муфта, Провод,Опора,Изолятор, Контакт.соед,Трансформатор,ТТ,ТН,Выключатель,Разъединитель,ВН,Рубильник,АВ,Разрядник,ОПН,-,"</formula1>
    </dataValidation>
    <dataValidation type="list" allowBlank="1" showInputMessage="1" showErrorMessage="1" sqref="C3:C29 C32:C149">
      <formula1>"ПС, ТП, РП, ВЛ, КЛ"</formula1>
    </dataValidation>
    <dataValidation type="list" allowBlank="1" showInputMessage="1" showErrorMessage="1" sqref="D3:D29 D32:D149">
      <mc:AlternateContent xmlns:x12ac="http://schemas.microsoft.com/office/spreadsheetml/2011/1/ac" xmlns:mc="http://schemas.openxmlformats.org/markup-compatibility/2006">
        <mc:Choice Requires="x12ac">
          <x12ac:list>"0,4", 6, 10, 35, 110</x12ac:list>
        </mc:Choice>
        <mc:Fallback>
          <formula1>"0,4, 6, 10, 35, 110"</formula1>
        </mc:Fallback>
      </mc:AlternateContent>
    </dataValidation>
    <dataValidation type="list" allowBlank="1" showInputMessage="1" showErrorMessage="1" sqref="C30:C31">
      <formula1>"КЛ, ВЛ, ПС, ТП, РП, "</formula1>
    </dataValidation>
    <dataValidation type="list" allowBlank="1" showInputMessage="1" showErrorMessage="1" sqref="I3:I149">
      <formula1>"1, 0,"</formula1>
    </dataValidation>
  </dataValidations>
  <pageMargins left="0.7" right="0.7" top="0.75" bottom="0.75" header="0.3" footer="0.3"/>
  <pageSetup paperSize="9" scale="69" fitToHeight="0" orientation="landscape" r:id="rId1"/>
  <rowBreaks count="4" manualBreakCount="4">
    <brk id="31" max="10" man="1"/>
    <brk id="68" max="10" man="1"/>
    <brk id="105" max="10" man="1"/>
    <brk id="142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7"/>
  <sheetViews>
    <sheetView view="pageBreakPreview" zoomScale="60" zoomScaleNormal="85" workbookViewId="0">
      <selection activeCell="E89" sqref="E89"/>
    </sheetView>
  </sheetViews>
  <sheetFormatPr defaultRowHeight="15" x14ac:dyDescent="0.25"/>
  <cols>
    <col min="1" max="1" width="21.85546875" customWidth="1"/>
    <col min="2" max="2" width="15.5703125" customWidth="1"/>
    <col min="4" max="4" width="9.28515625" customWidth="1"/>
    <col min="5" max="5" width="15.28515625" bestFit="1" customWidth="1"/>
    <col min="6" max="6" width="15.5703125" customWidth="1"/>
    <col min="7" max="7" width="12.140625" style="139" customWidth="1"/>
    <col min="8" max="8" width="38.85546875" customWidth="1"/>
    <col min="9" max="9" width="10.28515625" customWidth="1"/>
    <col min="10" max="10" width="16" customWidth="1"/>
    <col min="11" max="11" width="23.42578125" customWidth="1"/>
    <col min="25" max="25" width="15.28515625" bestFit="1" customWidth="1"/>
  </cols>
  <sheetData>
    <row r="1" spans="1:15" ht="19.5" thickBot="1" x14ac:dyDescent="0.35">
      <c r="B1" s="401" t="s">
        <v>85</v>
      </c>
      <c r="C1" s="401"/>
      <c r="D1" s="401"/>
      <c r="E1" s="401"/>
      <c r="F1" s="401"/>
      <c r="G1" s="401"/>
      <c r="H1" s="401"/>
      <c r="I1" s="401"/>
      <c r="J1" s="401"/>
    </row>
    <row r="2" spans="1:15" ht="143.25" thickTop="1" thickBot="1" x14ac:dyDescent="0.3">
      <c r="A2" s="162" t="s">
        <v>3</v>
      </c>
      <c r="B2" s="163" t="s">
        <v>12</v>
      </c>
      <c r="C2" s="163" t="s">
        <v>0</v>
      </c>
      <c r="D2" s="164" t="s">
        <v>13</v>
      </c>
      <c r="E2" s="164" t="s">
        <v>14</v>
      </c>
      <c r="F2" s="164" t="s">
        <v>15</v>
      </c>
      <c r="G2" s="164" t="s">
        <v>16</v>
      </c>
      <c r="H2" s="164" t="s">
        <v>76</v>
      </c>
      <c r="I2" s="164" t="s">
        <v>38</v>
      </c>
      <c r="J2" s="164" t="s">
        <v>1</v>
      </c>
      <c r="K2" s="165" t="s">
        <v>17</v>
      </c>
      <c r="L2" s="92"/>
      <c r="M2" s="92"/>
      <c r="N2" s="92"/>
      <c r="O2" s="92"/>
    </row>
    <row r="3" spans="1:15" ht="15.75" thickTop="1" x14ac:dyDescent="0.25">
      <c r="A3" s="403" t="s">
        <v>40</v>
      </c>
      <c r="B3" s="406" t="s">
        <v>20</v>
      </c>
      <c r="C3" s="55" t="s">
        <v>36</v>
      </c>
      <c r="D3" s="55">
        <v>10</v>
      </c>
      <c r="E3" s="56">
        <v>43506.976388888892</v>
      </c>
      <c r="F3" s="56">
        <v>43507.015277777777</v>
      </c>
      <c r="G3" s="57">
        <v>0.93333333323244005</v>
      </c>
      <c r="H3" s="281" t="s">
        <v>93</v>
      </c>
      <c r="I3" s="55">
        <v>1</v>
      </c>
      <c r="J3" s="58" t="s">
        <v>90</v>
      </c>
      <c r="K3" s="62" t="s">
        <v>92</v>
      </c>
    </row>
    <row r="4" spans="1:15" x14ac:dyDescent="0.25">
      <c r="A4" s="404"/>
      <c r="B4" s="388"/>
      <c r="C4" s="161" t="s">
        <v>36</v>
      </c>
      <c r="D4" s="161">
        <v>10</v>
      </c>
      <c r="E4" s="251">
        <v>43517.597222222219</v>
      </c>
      <c r="F4" s="251">
        <v>43517.604166666664</v>
      </c>
      <c r="G4" s="252">
        <v>0.16666666668606922</v>
      </c>
      <c r="H4" s="290" t="s">
        <v>94</v>
      </c>
      <c r="I4" s="161">
        <v>1</v>
      </c>
      <c r="J4" s="269" t="s">
        <v>90</v>
      </c>
      <c r="K4" s="270" t="s">
        <v>92</v>
      </c>
    </row>
    <row r="5" spans="1:15" x14ac:dyDescent="0.25">
      <c r="A5" s="404"/>
      <c r="B5" s="388"/>
      <c r="C5" s="161" t="s">
        <v>2</v>
      </c>
      <c r="D5" s="161">
        <v>10</v>
      </c>
      <c r="E5" s="251">
        <v>43519.569444444445</v>
      </c>
      <c r="F5" s="251">
        <v>43519.604166666664</v>
      </c>
      <c r="G5" s="252">
        <v>0.83333333325572312</v>
      </c>
      <c r="H5" s="290" t="s">
        <v>91</v>
      </c>
      <c r="I5" s="161">
        <v>0</v>
      </c>
      <c r="J5" s="269" t="s">
        <v>90</v>
      </c>
      <c r="K5" s="270" t="s">
        <v>92</v>
      </c>
    </row>
    <row r="6" spans="1:15" x14ac:dyDescent="0.25">
      <c r="A6" s="404"/>
      <c r="B6" s="388"/>
      <c r="C6" s="161" t="s">
        <v>36</v>
      </c>
      <c r="D6" s="161">
        <v>10</v>
      </c>
      <c r="E6" s="251">
        <v>43519.767361111109</v>
      </c>
      <c r="F6" s="251">
        <v>43519.791666666664</v>
      </c>
      <c r="G6" s="252">
        <v>0.58333333331393078</v>
      </c>
      <c r="H6" s="290" t="s">
        <v>95</v>
      </c>
      <c r="I6" s="161">
        <v>1</v>
      </c>
      <c r="J6" s="269" t="s">
        <v>97</v>
      </c>
      <c r="K6" s="270" t="s">
        <v>98</v>
      </c>
    </row>
    <row r="7" spans="1:15" ht="15.75" thickBot="1" x14ac:dyDescent="0.3">
      <c r="A7" s="404"/>
      <c r="B7" s="407"/>
      <c r="C7" s="253" t="s">
        <v>36</v>
      </c>
      <c r="D7" s="253">
        <v>10</v>
      </c>
      <c r="E7" s="254">
        <v>43519.767361111109</v>
      </c>
      <c r="F7" s="254">
        <v>43519.815972222219</v>
      </c>
      <c r="G7" s="255">
        <v>1.1666666666278616</v>
      </c>
      <c r="H7" s="291" t="s">
        <v>99</v>
      </c>
      <c r="I7" s="253">
        <v>1</v>
      </c>
      <c r="J7" s="256" t="s">
        <v>100</v>
      </c>
      <c r="K7" s="257" t="s">
        <v>101</v>
      </c>
    </row>
    <row r="8" spans="1:15" x14ac:dyDescent="0.25">
      <c r="A8" s="404"/>
      <c r="B8" s="393" t="s">
        <v>21</v>
      </c>
      <c r="C8" s="46" t="s">
        <v>36</v>
      </c>
      <c r="D8" s="46">
        <v>10</v>
      </c>
      <c r="E8" s="45">
        <v>43506.982638888891</v>
      </c>
      <c r="F8" s="45">
        <v>43507.132638888892</v>
      </c>
      <c r="G8" s="44">
        <v>3.6000000000349246</v>
      </c>
      <c r="H8" s="289" t="s">
        <v>102</v>
      </c>
      <c r="I8" s="47">
        <v>1</v>
      </c>
      <c r="J8" s="50" t="s">
        <v>97</v>
      </c>
      <c r="K8" s="63" t="s">
        <v>109</v>
      </c>
    </row>
    <row r="9" spans="1:15" ht="15.75" thickBot="1" x14ac:dyDescent="0.3">
      <c r="A9" s="404"/>
      <c r="B9" s="378"/>
      <c r="C9" s="253" t="s">
        <v>36</v>
      </c>
      <c r="D9" s="253">
        <v>10</v>
      </c>
      <c r="E9" s="52">
        <v>43524.676388888889</v>
      </c>
      <c r="F9" s="52">
        <v>43524.754861111112</v>
      </c>
      <c r="G9" s="255">
        <v>1.8833333333604969</v>
      </c>
      <c r="H9" s="291" t="s">
        <v>102</v>
      </c>
      <c r="I9" s="51">
        <v>1</v>
      </c>
      <c r="J9" s="54" t="s">
        <v>97</v>
      </c>
      <c r="K9" s="257" t="s">
        <v>109</v>
      </c>
    </row>
    <row r="10" spans="1:15" ht="15.75" thickBot="1" x14ac:dyDescent="0.3">
      <c r="A10" s="404"/>
      <c r="B10" s="295" t="s">
        <v>28</v>
      </c>
      <c r="C10" s="288" t="s">
        <v>2</v>
      </c>
      <c r="D10" s="288">
        <v>6</v>
      </c>
      <c r="E10" s="323">
        <v>43501.423611111109</v>
      </c>
      <c r="F10" s="323">
        <v>43501.4375</v>
      </c>
      <c r="G10" s="324">
        <v>0.33333333337213844</v>
      </c>
      <c r="H10" s="296" t="s">
        <v>110</v>
      </c>
      <c r="I10" s="288">
        <v>1</v>
      </c>
      <c r="J10" s="325" t="s">
        <v>97</v>
      </c>
      <c r="K10" s="333" t="s">
        <v>109</v>
      </c>
    </row>
    <row r="11" spans="1:15" x14ac:dyDescent="0.25">
      <c r="A11" s="404"/>
      <c r="B11" s="393" t="s">
        <v>29</v>
      </c>
      <c r="C11" s="46" t="s">
        <v>52</v>
      </c>
      <c r="D11" s="46">
        <v>6</v>
      </c>
      <c r="E11" s="45">
        <v>43500.423611111109</v>
      </c>
      <c r="F11" s="45">
        <v>43500.426388888889</v>
      </c>
      <c r="G11" s="44">
        <v>6.6666666709352285E-2</v>
      </c>
      <c r="H11" s="289" t="s">
        <v>104</v>
      </c>
      <c r="I11" s="46">
        <v>0</v>
      </c>
      <c r="J11" s="43" t="s">
        <v>90</v>
      </c>
      <c r="K11" s="63" t="s">
        <v>92</v>
      </c>
    </row>
    <row r="12" spans="1:15" ht="15.75" thickBot="1" x14ac:dyDescent="0.3">
      <c r="A12" s="404"/>
      <c r="B12" s="378"/>
      <c r="C12" s="51" t="s">
        <v>2</v>
      </c>
      <c r="D12" s="51">
        <v>10</v>
      </c>
      <c r="E12" s="254">
        <v>43513.725694444445</v>
      </c>
      <c r="F12" s="254">
        <v>43513.73541666667</v>
      </c>
      <c r="G12" s="53">
        <v>0.2333333333954215</v>
      </c>
      <c r="H12" s="291" t="s">
        <v>104</v>
      </c>
      <c r="I12" s="51">
        <v>0</v>
      </c>
      <c r="J12" s="54" t="s">
        <v>90</v>
      </c>
      <c r="K12" s="111" t="s">
        <v>92</v>
      </c>
    </row>
    <row r="13" spans="1:15" ht="15.75" thickBot="1" x14ac:dyDescent="0.3">
      <c r="A13" s="404"/>
      <c r="B13" s="295" t="s">
        <v>33</v>
      </c>
      <c r="C13" s="181" t="s">
        <v>2</v>
      </c>
      <c r="D13" s="181">
        <v>10</v>
      </c>
      <c r="E13" s="182">
        <v>43499.493055555555</v>
      </c>
      <c r="F13" s="182">
        <v>43499.746527777781</v>
      </c>
      <c r="G13" s="183">
        <v>6.0833333334303461</v>
      </c>
      <c r="H13" s="337" t="s">
        <v>104</v>
      </c>
      <c r="I13" s="181">
        <v>0</v>
      </c>
      <c r="J13" s="325" t="s">
        <v>90</v>
      </c>
      <c r="K13" s="333" t="s">
        <v>92</v>
      </c>
    </row>
    <row r="14" spans="1:15" ht="15.75" thickBot="1" x14ac:dyDescent="0.3">
      <c r="A14" s="404"/>
      <c r="B14" s="295" t="s">
        <v>34</v>
      </c>
      <c r="C14" s="181" t="s">
        <v>2</v>
      </c>
      <c r="D14" s="181">
        <v>0.4</v>
      </c>
      <c r="E14" s="182">
        <v>43515.913194444445</v>
      </c>
      <c r="F14" s="182">
        <v>43515.977777777778</v>
      </c>
      <c r="G14" s="183">
        <v>1.5499999999883585</v>
      </c>
      <c r="H14" s="184" t="s">
        <v>124</v>
      </c>
      <c r="I14" s="181">
        <v>0</v>
      </c>
      <c r="J14" s="185" t="s">
        <v>96</v>
      </c>
      <c r="K14" s="186" t="s">
        <v>108</v>
      </c>
    </row>
    <row r="15" spans="1:15" x14ac:dyDescent="0.25">
      <c r="A15" s="404"/>
      <c r="B15" s="393" t="s">
        <v>35</v>
      </c>
      <c r="C15" s="47" t="s">
        <v>2</v>
      </c>
      <c r="D15" s="47">
        <v>10</v>
      </c>
      <c r="E15" s="48">
        <v>43501.378472222219</v>
      </c>
      <c r="F15" s="48">
        <v>43501.482638888891</v>
      </c>
      <c r="G15" s="49">
        <v>2.5000000001164153</v>
      </c>
      <c r="H15" s="289" t="s">
        <v>105</v>
      </c>
      <c r="I15" s="47">
        <v>0</v>
      </c>
      <c r="J15" s="43" t="s">
        <v>90</v>
      </c>
      <c r="K15" s="63" t="s">
        <v>92</v>
      </c>
    </row>
    <row r="16" spans="1:15" ht="15.75" thickBot="1" x14ac:dyDescent="0.3">
      <c r="A16" s="405"/>
      <c r="B16" s="394"/>
      <c r="C16" s="117" t="s">
        <v>2</v>
      </c>
      <c r="D16" s="117">
        <v>10</v>
      </c>
      <c r="E16" s="118">
        <v>43504.308333333334</v>
      </c>
      <c r="F16" s="118">
        <v>43504.43472222222</v>
      </c>
      <c r="G16" s="119">
        <v>3.0333333332673647</v>
      </c>
      <c r="H16" s="298" t="s">
        <v>105</v>
      </c>
      <c r="I16" s="117">
        <v>0</v>
      </c>
      <c r="J16" s="277" t="s">
        <v>90</v>
      </c>
      <c r="K16" s="278" t="s">
        <v>92</v>
      </c>
    </row>
    <row r="17" spans="1:11" ht="16.5" thickTop="1" thickBot="1" x14ac:dyDescent="0.3">
      <c r="A17" s="369" t="s">
        <v>43</v>
      </c>
      <c r="B17" s="339" t="s">
        <v>24</v>
      </c>
      <c r="C17" s="340" t="s">
        <v>36</v>
      </c>
      <c r="D17" s="340">
        <v>10</v>
      </c>
      <c r="E17" s="341">
        <v>43502.732638888891</v>
      </c>
      <c r="F17" s="341">
        <v>43502.775694444441</v>
      </c>
      <c r="G17" s="342">
        <v>1.033333333209157</v>
      </c>
      <c r="H17" s="343" t="s">
        <v>104</v>
      </c>
      <c r="I17" s="340">
        <v>0</v>
      </c>
      <c r="J17" s="344" t="s">
        <v>90</v>
      </c>
      <c r="K17" s="345" t="s">
        <v>92</v>
      </c>
    </row>
    <row r="18" spans="1:11" ht="15.75" thickBot="1" x14ac:dyDescent="0.3">
      <c r="A18" s="370"/>
      <c r="B18" s="338" t="s">
        <v>25</v>
      </c>
      <c r="C18" s="262"/>
      <c r="D18" s="262"/>
      <c r="E18" s="263"/>
      <c r="F18" s="263"/>
      <c r="G18" s="264"/>
      <c r="H18" s="307"/>
      <c r="I18" s="262"/>
      <c r="J18" s="265"/>
      <c r="K18" s="266"/>
    </row>
    <row r="19" spans="1:11" x14ac:dyDescent="0.25">
      <c r="A19" s="370"/>
      <c r="B19" s="397" t="s">
        <v>18</v>
      </c>
      <c r="C19" s="79" t="s">
        <v>2</v>
      </c>
      <c r="D19" s="79">
        <v>10</v>
      </c>
      <c r="E19" s="80">
        <v>43499.944444444445</v>
      </c>
      <c r="F19" s="80">
        <v>43500.71875</v>
      </c>
      <c r="G19" s="81">
        <v>18.583333333313931</v>
      </c>
      <c r="H19" s="282" t="s">
        <v>145</v>
      </c>
      <c r="I19" s="79">
        <v>0</v>
      </c>
      <c r="J19" s="82" t="s">
        <v>90</v>
      </c>
      <c r="K19" s="83" t="s">
        <v>92</v>
      </c>
    </row>
    <row r="20" spans="1:11" x14ac:dyDescent="0.25">
      <c r="A20" s="370"/>
      <c r="B20" s="398"/>
      <c r="C20" s="69" t="s">
        <v>36</v>
      </c>
      <c r="D20" s="69">
        <v>10</v>
      </c>
      <c r="E20" s="70">
        <v>43500.447916666664</v>
      </c>
      <c r="F20" s="70">
        <v>43500.684027777781</v>
      </c>
      <c r="G20" s="71">
        <v>5.6666666668024845</v>
      </c>
      <c r="H20" s="283" t="s">
        <v>106</v>
      </c>
      <c r="I20" s="69">
        <v>1</v>
      </c>
      <c r="J20" s="72" t="s">
        <v>90</v>
      </c>
      <c r="K20" s="73" t="s">
        <v>92</v>
      </c>
    </row>
    <row r="21" spans="1:11" x14ac:dyDescent="0.25">
      <c r="A21" s="370"/>
      <c r="B21" s="398"/>
      <c r="C21" s="69" t="s">
        <v>36</v>
      </c>
      <c r="D21" s="69">
        <v>10</v>
      </c>
      <c r="E21" s="70">
        <v>43505.354166666664</v>
      </c>
      <c r="F21" s="70">
        <v>43505.413194444445</v>
      </c>
      <c r="G21" s="71">
        <v>1.4166666667442769</v>
      </c>
      <c r="H21" s="283" t="s">
        <v>106</v>
      </c>
      <c r="I21" s="69">
        <v>1</v>
      </c>
      <c r="J21" s="72" t="s">
        <v>90</v>
      </c>
      <c r="K21" s="73" t="s">
        <v>92</v>
      </c>
    </row>
    <row r="22" spans="1:11" x14ac:dyDescent="0.25">
      <c r="A22" s="370"/>
      <c r="B22" s="398"/>
      <c r="C22" s="69" t="s">
        <v>2</v>
      </c>
      <c r="D22" s="69">
        <v>10</v>
      </c>
      <c r="E22" s="70">
        <v>43509.770833333336</v>
      </c>
      <c r="F22" s="70">
        <v>43509.807638888888</v>
      </c>
      <c r="G22" s="71">
        <v>0.88333333324408159</v>
      </c>
      <c r="H22" s="283" t="s">
        <v>106</v>
      </c>
      <c r="I22" s="69">
        <v>1</v>
      </c>
      <c r="J22" s="72" t="s">
        <v>90</v>
      </c>
      <c r="K22" s="73" t="s">
        <v>92</v>
      </c>
    </row>
    <row r="23" spans="1:11" x14ac:dyDescent="0.25">
      <c r="A23" s="370"/>
      <c r="B23" s="398"/>
      <c r="C23" s="69" t="s">
        <v>2</v>
      </c>
      <c r="D23" s="69">
        <v>10</v>
      </c>
      <c r="E23" s="70">
        <v>43511.666666666664</v>
      </c>
      <c r="F23" s="70">
        <v>43512.008333333331</v>
      </c>
      <c r="G23" s="71">
        <v>8.2000000000116415</v>
      </c>
      <c r="H23" s="283" t="s">
        <v>106</v>
      </c>
      <c r="I23" s="69">
        <v>1</v>
      </c>
      <c r="J23" s="72" t="s">
        <v>90</v>
      </c>
      <c r="K23" s="73" t="s">
        <v>92</v>
      </c>
    </row>
    <row r="24" spans="1:11" x14ac:dyDescent="0.25">
      <c r="A24" s="370"/>
      <c r="B24" s="398"/>
      <c r="C24" s="69" t="s">
        <v>36</v>
      </c>
      <c r="D24" s="69">
        <v>10</v>
      </c>
      <c r="E24" s="70">
        <v>43513.659722222219</v>
      </c>
      <c r="F24" s="70">
        <v>43513.726388888892</v>
      </c>
      <c r="G24" s="71">
        <v>1.6000000001513399</v>
      </c>
      <c r="H24" s="283" t="s">
        <v>106</v>
      </c>
      <c r="I24" s="69">
        <v>1</v>
      </c>
      <c r="J24" s="72" t="s">
        <v>90</v>
      </c>
      <c r="K24" s="73" t="s">
        <v>92</v>
      </c>
    </row>
    <row r="25" spans="1:11" x14ac:dyDescent="0.25">
      <c r="A25" s="370"/>
      <c r="B25" s="398"/>
      <c r="C25" s="69" t="s">
        <v>2</v>
      </c>
      <c r="D25" s="69">
        <v>10</v>
      </c>
      <c r="E25" s="70">
        <v>43513.770833333336</v>
      </c>
      <c r="F25" s="70">
        <v>43513.788194444445</v>
      </c>
      <c r="G25" s="71">
        <v>0.41666666662786156</v>
      </c>
      <c r="H25" s="283" t="s">
        <v>106</v>
      </c>
      <c r="I25" s="69">
        <v>1</v>
      </c>
      <c r="J25" s="72" t="s">
        <v>90</v>
      </c>
      <c r="K25" s="73" t="s">
        <v>92</v>
      </c>
    </row>
    <row r="26" spans="1:11" x14ac:dyDescent="0.25">
      <c r="A26" s="370"/>
      <c r="B26" s="398"/>
      <c r="C26" s="69" t="s">
        <v>2</v>
      </c>
      <c r="D26" s="69">
        <v>10</v>
      </c>
      <c r="E26" s="70">
        <v>43513.835416666669</v>
      </c>
      <c r="F26" s="70">
        <v>43513.854166666664</v>
      </c>
      <c r="G26" s="71">
        <v>0.44999999989522621</v>
      </c>
      <c r="H26" s="283" t="s">
        <v>106</v>
      </c>
      <c r="I26" s="69">
        <v>1</v>
      </c>
      <c r="J26" s="72" t="s">
        <v>90</v>
      </c>
      <c r="K26" s="73" t="s">
        <v>92</v>
      </c>
    </row>
    <row r="27" spans="1:11" x14ac:dyDescent="0.25">
      <c r="A27" s="370"/>
      <c r="B27" s="398"/>
      <c r="C27" s="69" t="s">
        <v>2</v>
      </c>
      <c r="D27" s="69">
        <v>10</v>
      </c>
      <c r="E27" s="70">
        <v>43515.833333333336</v>
      </c>
      <c r="F27" s="70">
        <v>43515.883333333331</v>
      </c>
      <c r="G27" s="71">
        <v>1.1999999998952262</v>
      </c>
      <c r="H27" s="283" t="s">
        <v>106</v>
      </c>
      <c r="I27" s="69">
        <v>1</v>
      </c>
      <c r="J27" s="72" t="s">
        <v>90</v>
      </c>
      <c r="K27" s="73" t="s">
        <v>92</v>
      </c>
    </row>
    <row r="28" spans="1:11" x14ac:dyDescent="0.25">
      <c r="A28" s="370"/>
      <c r="B28" s="398"/>
      <c r="C28" s="69" t="s">
        <v>2</v>
      </c>
      <c r="D28" s="69">
        <v>10</v>
      </c>
      <c r="E28" s="70">
        <v>43515.951388888891</v>
      </c>
      <c r="F28" s="70">
        <v>43515.982638888891</v>
      </c>
      <c r="G28" s="71">
        <v>0.75</v>
      </c>
      <c r="H28" s="283" t="s">
        <v>106</v>
      </c>
      <c r="I28" s="69">
        <v>1</v>
      </c>
      <c r="J28" s="72" t="s">
        <v>90</v>
      </c>
      <c r="K28" s="73" t="s">
        <v>92</v>
      </c>
    </row>
    <row r="29" spans="1:11" ht="15.75" thickBot="1" x14ac:dyDescent="0.3">
      <c r="A29" s="370"/>
      <c r="B29" s="399"/>
      <c r="C29" s="84" t="s">
        <v>2</v>
      </c>
      <c r="D29" s="84">
        <v>10</v>
      </c>
      <c r="E29" s="116">
        <v>43518.604166666664</v>
      </c>
      <c r="F29" s="116">
        <v>43518.636805555558</v>
      </c>
      <c r="G29" s="85">
        <v>0.78333333344198763</v>
      </c>
      <c r="H29" s="284" t="s">
        <v>132</v>
      </c>
      <c r="I29" s="84">
        <v>1</v>
      </c>
      <c r="J29" s="86" t="s">
        <v>96</v>
      </c>
      <c r="K29" s="87" t="s">
        <v>108</v>
      </c>
    </row>
    <row r="30" spans="1:11" ht="15.75" thickBot="1" x14ac:dyDescent="0.3">
      <c r="A30" s="371"/>
      <c r="B30" s="346" t="s">
        <v>19</v>
      </c>
      <c r="C30" s="245"/>
      <c r="D30" s="245"/>
      <c r="E30" s="246"/>
      <c r="F30" s="246"/>
      <c r="G30" s="247"/>
      <c r="H30" s="304"/>
      <c r="I30" s="245"/>
      <c r="J30" s="248"/>
      <c r="K30" s="249"/>
    </row>
    <row r="31" spans="1:11" ht="15.75" thickTop="1" x14ac:dyDescent="0.25">
      <c r="A31" s="373" t="s">
        <v>30</v>
      </c>
      <c r="B31" s="376" t="s">
        <v>31</v>
      </c>
      <c r="C31" s="59" t="s">
        <v>2</v>
      </c>
      <c r="D31" s="59">
        <v>10</v>
      </c>
      <c r="E31" s="258">
        <v>43498.05972222222</v>
      </c>
      <c r="F31" s="258">
        <v>43498.100694444445</v>
      </c>
      <c r="G31" s="60">
        <v>0.9833333333954215</v>
      </c>
      <c r="H31" s="281" t="s">
        <v>104</v>
      </c>
      <c r="I31" s="59">
        <v>0</v>
      </c>
      <c r="J31" s="61" t="s">
        <v>90</v>
      </c>
      <c r="K31" s="259" t="s">
        <v>92</v>
      </c>
    </row>
    <row r="32" spans="1:11" x14ac:dyDescent="0.25">
      <c r="A32" s="374"/>
      <c r="B32" s="377"/>
      <c r="C32" s="100" t="s">
        <v>2</v>
      </c>
      <c r="D32" s="100">
        <v>10</v>
      </c>
      <c r="E32" s="101">
        <v>43499.159722222219</v>
      </c>
      <c r="F32" s="101">
        <v>43499.188194444447</v>
      </c>
      <c r="G32" s="102">
        <v>0.6833333334652707</v>
      </c>
      <c r="H32" s="290" t="s">
        <v>104</v>
      </c>
      <c r="I32" s="100">
        <v>0</v>
      </c>
      <c r="J32" s="103" t="s">
        <v>90</v>
      </c>
      <c r="K32" s="104" t="s">
        <v>92</v>
      </c>
    </row>
    <row r="33" spans="1:11" x14ac:dyDescent="0.25">
      <c r="A33" s="374"/>
      <c r="B33" s="377"/>
      <c r="C33" s="100" t="s">
        <v>2</v>
      </c>
      <c r="D33" s="100">
        <v>10</v>
      </c>
      <c r="E33" s="101">
        <v>43499.399305555555</v>
      </c>
      <c r="F33" s="101">
        <v>43499.431944444441</v>
      </c>
      <c r="G33" s="102">
        <v>0.78333333326736465</v>
      </c>
      <c r="H33" s="290" t="s">
        <v>104</v>
      </c>
      <c r="I33" s="100">
        <v>0</v>
      </c>
      <c r="J33" s="103" t="s">
        <v>90</v>
      </c>
      <c r="K33" s="104" t="s">
        <v>92</v>
      </c>
    </row>
    <row r="34" spans="1:11" x14ac:dyDescent="0.25">
      <c r="A34" s="374"/>
      <c r="B34" s="377"/>
      <c r="C34" s="100" t="s">
        <v>2</v>
      </c>
      <c r="D34" s="100">
        <v>10</v>
      </c>
      <c r="E34" s="101">
        <v>43500.725694444445</v>
      </c>
      <c r="F34" s="101">
        <v>43500.982638888891</v>
      </c>
      <c r="G34" s="102">
        <v>6.1666666666860692</v>
      </c>
      <c r="H34" s="290" t="s">
        <v>138</v>
      </c>
      <c r="I34" s="100">
        <v>1</v>
      </c>
      <c r="J34" s="103" t="s">
        <v>139</v>
      </c>
      <c r="K34" s="104" t="s">
        <v>108</v>
      </c>
    </row>
    <row r="35" spans="1:11" x14ac:dyDescent="0.25">
      <c r="A35" s="374"/>
      <c r="B35" s="377"/>
      <c r="C35" s="100" t="s">
        <v>2</v>
      </c>
      <c r="D35" s="100">
        <v>10</v>
      </c>
      <c r="E35" s="101">
        <v>43500.914583333331</v>
      </c>
      <c r="F35" s="101">
        <v>43500.942361111112</v>
      </c>
      <c r="G35" s="102">
        <v>0.66666666674427688</v>
      </c>
      <c r="H35" s="290" t="s">
        <v>104</v>
      </c>
      <c r="I35" s="100">
        <v>0</v>
      </c>
      <c r="J35" s="103" t="s">
        <v>90</v>
      </c>
      <c r="K35" s="104" t="s">
        <v>92</v>
      </c>
    </row>
    <row r="36" spans="1:11" x14ac:dyDescent="0.25">
      <c r="A36" s="374"/>
      <c r="B36" s="377"/>
      <c r="C36" s="100" t="s">
        <v>2</v>
      </c>
      <c r="D36" s="100">
        <v>10</v>
      </c>
      <c r="E36" s="101">
        <v>43500.984027777777</v>
      </c>
      <c r="F36" s="101">
        <v>43501.020833333336</v>
      </c>
      <c r="G36" s="102">
        <v>0.88333333341870457</v>
      </c>
      <c r="H36" s="290" t="s">
        <v>104</v>
      </c>
      <c r="I36" s="100">
        <v>0</v>
      </c>
      <c r="J36" s="103" t="s">
        <v>90</v>
      </c>
      <c r="K36" s="104" t="s">
        <v>92</v>
      </c>
    </row>
    <row r="37" spans="1:11" x14ac:dyDescent="0.25">
      <c r="A37" s="374"/>
      <c r="B37" s="377"/>
      <c r="C37" s="100" t="s">
        <v>36</v>
      </c>
      <c r="D37" s="100">
        <v>0.4</v>
      </c>
      <c r="E37" s="101">
        <v>43503.555555555555</v>
      </c>
      <c r="F37" s="101">
        <v>43503.622916666667</v>
      </c>
      <c r="G37" s="102">
        <v>1.6166666666977108</v>
      </c>
      <c r="H37" s="290" t="s">
        <v>91</v>
      </c>
      <c r="I37" s="100">
        <v>0</v>
      </c>
      <c r="J37" s="103" t="s">
        <v>90</v>
      </c>
      <c r="K37" s="104" t="s">
        <v>92</v>
      </c>
    </row>
    <row r="38" spans="1:11" x14ac:dyDescent="0.25">
      <c r="A38" s="374"/>
      <c r="B38" s="377"/>
      <c r="C38" s="100" t="s">
        <v>2</v>
      </c>
      <c r="D38" s="100">
        <v>10</v>
      </c>
      <c r="E38" s="101">
        <v>43506.767361111109</v>
      </c>
      <c r="F38" s="101">
        <v>43506.840277777781</v>
      </c>
      <c r="G38" s="102">
        <v>1.7500000001164153</v>
      </c>
      <c r="H38" s="290" t="s">
        <v>91</v>
      </c>
      <c r="I38" s="100">
        <v>0</v>
      </c>
      <c r="J38" s="103" t="s">
        <v>90</v>
      </c>
      <c r="K38" s="104" t="s">
        <v>92</v>
      </c>
    </row>
    <row r="39" spans="1:11" x14ac:dyDescent="0.25">
      <c r="A39" s="374"/>
      <c r="B39" s="377"/>
      <c r="C39" s="100" t="s">
        <v>2</v>
      </c>
      <c r="D39" s="100">
        <v>10</v>
      </c>
      <c r="E39" s="101">
        <v>43507.628472222219</v>
      </c>
      <c r="F39" s="101">
        <v>43507.645833333336</v>
      </c>
      <c r="G39" s="102">
        <v>0.41666666680248454</v>
      </c>
      <c r="H39" s="290" t="s">
        <v>104</v>
      </c>
      <c r="I39" s="100">
        <v>0</v>
      </c>
      <c r="J39" s="103" t="s">
        <v>90</v>
      </c>
      <c r="K39" s="104" t="s">
        <v>92</v>
      </c>
    </row>
    <row r="40" spans="1:11" x14ac:dyDescent="0.25">
      <c r="A40" s="374"/>
      <c r="B40" s="377"/>
      <c r="C40" s="100" t="s">
        <v>2</v>
      </c>
      <c r="D40" s="100">
        <v>10</v>
      </c>
      <c r="E40" s="101">
        <v>43510.564583333333</v>
      </c>
      <c r="F40" s="101">
        <v>43510.604166666664</v>
      </c>
      <c r="G40" s="102">
        <v>0.94999999995343387</v>
      </c>
      <c r="H40" s="290" t="s">
        <v>104</v>
      </c>
      <c r="I40" s="100">
        <v>0</v>
      </c>
      <c r="J40" s="103" t="s">
        <v>90</v>
      </c>
      <c r="K40" s="104" t="s">
        <v>92</v>
      </c>
    </row>
    <row r="41" spans="1:11" x14ac:dyDescent="0.25">
      <c r="A41" s="374"/>
      <c r="B41" s="377"/>
      <c r="C41" s="100" t="s">
        <v>2</v>
      </c>
      <c r="D41" s="100">
        <v>10</v>
      </c>
      <c r="E41" s="101">
        <v>43517.127083333333</v>
      </c>
      <c r="F41" s="101">
        <v>43517.586111111108</v>
      </c>
      <c r="G41" s="102">
        <v>11.016666666604578</v>
      </c>
      <c r="H41" s="290" t="s">
        <v>122</v>
      </c>
      <c r="I41" s="100">
        <v>1</v>
      </c>
      <c r="J41" s="103" t="s">
        <v>119</v>
      </c>
      <c r="K41" s="104" t="s">
        <v>123</v>
      </c>
    </row>
    <row r="42" spans="1:11" x14ac:dyDescent="0.25">
      <c r="A42" s="374"/>
      <c r="B42" s="377"/>
      <c r="C42" s="100" t="s">
        <v>2</v>
      </c>
      <c r="D42" s="100">
        <v>10</v>
      </c>
      <c r="E42" s="101">
        <v>43519.333333333336</v>
      </c>
      <c r="F42" s="101">
        <v>43519.415277777778</v>
      </c>
      <c r="G42" s="102">
        <v>1.96666666661622</v>
      </c>
      <c r="H42" s="290" t="s">
        <v>104</v>
      </c>
      <c r="I42" s="100">
        <v>0</v>
      </c>
      <c r="J42" s="103" t="s">
        <v>90</v>
      </c>
      <c r="K42" s="104" t="s">
        <v>92</v>
      </c>
    </row>
    <row r="43" spans="1:11" x14ac:dyDescent="0.25">
      <c r="A43" s="374"/>
      <c r="B43" s="377"/>
      <c r="C43" s="100" t="s">
        <v>36</v>
      </c>
      <c r="D43" s="100">
        <v>0.4</v>
      </c>
      <c r="E43" s="101">
        <v>43519.760416666664</v>
      </c>
      <c r="F43" s="101">
        <v>43519.863888888889</v>
      </c>
      <c r="G43" s="102">
        <v>2.4833333333954215</v>
      </c>
      <c r="H43" s="290" t="s">
        <v>91</v>
      </c>
      <c r="I43" s="100">
        <v>0</v>
      </c>
      <c r="J43" s="103" t="s">
        <v>90</v>
      </c>
      <c r="K43" s="104" t="s">
        <v>92</v>
      </c>
    </row>
    <row r="44" spans="1:11" ht="15.75" thickBot="1" x14ac:dyDescent="0.3">
      <c r="A44" s="374"/>
      <c r="B44" s="378"/>
      <c r="C44" s="51" t="s">
        <v>2</v>
      </c>
      <c r="D44" s="51">
        <v>10</v>
      </c>
      <c r="E44" s="52">
        <v>43524.763194444444</v>
      </c>
      <c r="F44" s="52">
        <v>43524.890972222223</v>
      </c>
      <c r="G44" s="53">
        <v>3.0666666667093523</v>
      </c>
      <c r="H44" s="291" t="s">
        <v>104</v>
      </c>
      <c r="I44" s="51">
        <v>0</v>
      </c>
      <c r="J44" s="54" t="s">
        <v>90</v>
      </c>
      <c r="K44" s="111" t="s">
        <v>92</v>
      </c>
    </row>
    <row r="45" spans="1:11" x14ac:dyDescent="0.25">
      <c r="A45" s="374"/>
      <c r="B45" s="393" t="s">
        <v>32</v>
      </c>
      <c r="C45" s="47" t="s">
        <v>36</v>
      </c>
      <c r="D45" s="47">
        <v>6</v>
      </c>
      <c r="E45" s="48">
        <v>43506.406944444447</v>
      </c>
      <c r="F45" s="48">
        <v>43506.435416666667</v>
      </c>
      <c r="G45" s="49">
        <v>0.68333333329064772</v>
      </c>
      <c r="H45" s="289" t="s">
        <v>91</v>
      </c>
      <c r="I45" s="47">
        <v>0</v>
      </c>
      <c r="J45" s="50" t="s">
        <v>90</v>
      </c>
      <c r="K45" s="112" t="s">
        <v>92</v>
      </c>
    </row>
    <row r="46" spans="1:11" x14ac:dyDescent="0.25">
      <c r="A46" s="374"/>
      <c r="B46" s="377"/>
      <c r="C46" s="100" t="s">
        <v>53</v>
      </c>
      <c r="D46" s="100">
        <v>0.4</v>
      </c>
      <c r="E46" s="101">
        <v>43506.72152777778</v>
      </c>
      <c r="F46" s="101">
        <v>43506.771527777775</v>
      </c>
      <c r="G46" s="102">
        <v>1.1999999998952262</v>
      </c>
      <c r="H46" s="290" t="s">
        <v>91</v>
      </c>
      <c r="I46" s="100">
        <v>0</v>
      </c>
      <c r="J46" s="103" t="s">
        <v>90</v>
      </c>
      <c r="K46" s="104" t="s">
        <v>92</v>
      </c>
    </row>
    <row r="47" spans="1:11" x14ac:dyDescent="0.25">
      <c r="A47" s="374"/>
      <c r="B47" s="377"/>
      <c r="C47" s="100" t="s">
        <v>53</v>
      </c>
      <c r="D47" s="100">
        <v>0.4</v>
      </c>
      <c r="E47" s="101">
        <v>43507.697916666664</v>
      </c>
      <c r="F47" s="101">
        <v>43507.749305555553</v>
      </c>
      <c r="G47" s="102">
        <v>1.2333333333372138</v>
      </c>
      <c r="H47" s="290" t="s">
        <v>91</v>
      </c>
      <c r="I47" s="100">
        <v>0</v>
      </c>
      <c r="J47" s="103" t="s">
        <v>90</v>
      </c>
      <c r="K47" s="104" t="s">
        <v>92</v>
      </c>
    </row>
    <row r="48" spans="1:11" x14ac:dyDescent="0.25">
      <c r="A48" s="374"/>
      <c r="B48" s="377"/>
      <c r="C48" s="100" t="s">
        <v>53</v>
      </c>
      <c r="D48" s="100">
        <v>0.4</v>
      </c>
      <c r="E48" s="101">
        <v>43507.715277777781</v>
      </c>
      <c r="F48" s="101">
        <v>43507.890972222223</v>
      </c>
      <c r="G48" s="102">
        <v>4.21666666661622</v>
      </c>
      <c r="H48" s="290" t="s">
        <v>91</v>
      </c>
      <c r="I48" s="100">
        <v>0</v>
      </c>
      <c r="J48" s="103" t="s">
        <v>90</v>
      </c>
      <c r="K48" s="104" t="s">
        <v>92</v>
      </c>
    </row>
    <row r="49" spans="1:11" x14ac:dyDescent="0.25">
      <c r="A49" s="374"/>
      <c r="B49" s="377"/>
      <c r="C49" s="100" t="s">
        <v>2</v>
      </c>
      <c r="D49" s="100">
        <v>6</v>
      </c>
      <c r="E49" s="101">
        <v>43513.270833333336</v>
      </c>
      <c r="F49" s="101">
        <v>43513.517361111109</v>
      </c>
      <c r="G49" s="102">
        <v>5.9166666665696539</v>
      </c>
      <c r="H49" s="290" t="s">
        <v>91</v>
      </c>
      <c r="I49" s="100">
        <v>0</v>
      </c>
      <c r="J49" s="103" t="s">
        <v>90</v>
      </c>
      <c r="K49" s="104" t="s">
        <v>92</v>
      </c>
    </row>
    <row r="50" spans="1:11" x14ac:dyDescent="0.25">
      <c r="A50" s="374"/>
      <c r="B50" s="377"/>
      <c r="C50" s="100" t="s">
        <v>52</v>
      </c>
      <c r="D50" s="100">
        <v>6</v>
      </c>
      <c r="E50" s="101">
        <v>43515.416666666664</v>
      </c>
      <c r="F50" s="101">
        <v>43515.420138888891</v>
      </c>
      <c r="G50" s="102">
        <v>8.3333333430346102E-2</v>
      </c>
      <c r="H50" s="290" t="s">
        <v>104</v>
      </c>
      <c r="I50" s="100">
        <v>0</v>
      </c>
      <c r="J50" s="103" t="s">
        <v>90</v>
      </c>
      <c r="K50" s="104" t="s">
        <v>92</v>
      </c>
    </row>
    <row r="51" spans="1:11" ht="15.75" thickBot="1" x14ac:dyDescent="0.3">
      <c r="A51" s="375"/>
      <c r="B51" s="394"/>
      <c r="C51" s="117" t="s">
        <v>36</v>
      </c>
      <c r="D51" s="117">
        <v>6</v>
      </c>
      <c r="E51" s="118">
        <v>43523.256944444445</v>
      </c>
      <c r="F51" s="118">
        <v>43523.323611111111</v>
      </c>
      <c r="G51" s="119">
        <v>1.5999999999767169</v>
      </c>
      <c r="H51" s="298" t="s">
        <v>102</v>
      </c>
      <c r="I51" s="117">
        <v>1</v>
      </c>
      <c r="J51" s="120" t="s">
        <v>97</v>
      </c>
      <c r="K51" s="121" t="s">
        <v>109</v>
      </c>
    </row>
    <row r="52" spans="1:11" ht="15.75" thickTop="1" x14ac:dyDescent="0.25">
      <c r="A52" s="369" t="s">
        <v>41</v>
      </c>
      <c r="B52" s="390" t="s">
        <v>22</v>
      </c>
      <c r="C52" s="64" t="s">
        <v>2</v>
      </c>
      <c r="D52" s="64">
        <v>10</v>
      </c>
      <c r="E52" s="268">
        <v>43498.291666666664</v>
      </c>
      <c r="F52" s="268">
        <v>43498.326388888891</v>
      </c>
      <c r="G52" s="66">
        <v>0.8333333334303461</v>
      </c>
      <c r="H52" s="303" t="s">
        <v>136</v>
      </c>
      <c r="I52" s="64">
        <v>1</v>
      </c>
      <c r="J52" s="67" t="s">
        <v>97</v>
      </c>
      <c r="K52" s="68" t="s">
        <v>109</v>
      </c>
    </row>
    <row r="53" spans="1:11" x14ac:dyDescent="0.25">
      <c r="A53" s="370"/>
      <c r="B53" s="391"/>
      <c r="C53" s="69" t="s">
        <v>36</v>
      </c>
      <c r="D53" s="69">
        <v>6</v>
      </c>
      <c r="E53" s="301">
        <v>43501.602777777778</v>
      </c>
      <c r="F53" s="301">
        <v>43501.618750000001</v>
      </c>
      <c r="G53" s="71">
        <v>0.38333333336049691</v>
      </c>
      <c r="H53" s="283" t="s">
        <v>91</v>
      </c>
      <c r="I53" s="69">
        <v>0</v>
      </c>
      <c r="J53" s="72" t="s">
        <v>90</v>
      </c>
      <c r="K53" s="73" t="s">
        <v>92</v>
      </c>
    </row>
    <row r="54" spans="1:11" x14ac:dyDescent="0.25">
      <c r="A54" s="370"/>
      <c r="B54" s="391"/>
      <c r="C54" s="69" t="s">
        <v>53</v>
      </c>
      <c r="D54" s="69">
        <v>0.4</v>
      </c>
      <c r="E54" s="301">
        <v>43502.698611111111</v>
      </c>
      <c r="F54" s="301">
        <v>43502.746527777781</v>
      </c>
      <c r="G54" s="71">
        <v>1.1500000000814907</v>
      </c>
      <c r="H54" s="283" t="s">
        <v>91</v>
      </c>
      <c r="I54" s="69">
        <v>0</v>
      </c>
      <c r="J54" s="72" t="s">
        <v>90</v>
      </c>
      <c r="K54" s="73" t="s">
        <v>92</v>
      </c>
    </row>
    <row r="55" spans="1:11" x14ac:dyDescent="0.25">
      <c r="A55" s="370"/>
      <c r="B55" s="391"/>
      <c r="C55" s="69" t="s">
        <v>36</v>
      </c>
      <c r="D55" s="69">
        <v>6</v>
      </c>
      <c r="E55" s="301">
        <v>43502.711805555555</v>
      </c>
      <c r="F55" s="301">
        <v>43502.815972222219</v>
      </c>
      <c r="G55" s="71">
        <v>2.4999999999417923</v>
      </c>
      <c r="H55" s="283" t="s">
        <v>114</v>
      </c>
      <c r="I55" s="69">
        <v>0</v>
      </c>
      <c r="J55" s="72" t="s">
        <v>97</v>
      </c>
      <c r="K55" s="73" t="s">
        <v>109</v>
      </c>
    </row>
    <row r="56" spans="1:11" x14ac:dyDescent="0.25">
      <c r="A56" s="370"/>
      <c r="B56" s="391"/>
      <c r="C56" s="69" t="s">
        <v>36</v>
      </c>
      <c r="D56" s="69">
        <v>6</v>
      </c>
      <c r="E56" s="301">
        <v>43502.849305555559</v>
      </c>
      <c r="F56" s="301">
        <v>43502.959722222222</v>
      </c>
      <c r="G56" s="71">
        <v>2.6499999999068677</v>
      </c>
      <c r="H56" s="283" t="s">
        <v>114</v>
      </c>
      <c r="I56" s="69">
        <v>0</v>
      </c>
      <c r="J56" s="72" t="s">
        <v>97</v>
      </c>
      <c r="K56" s="73" t="s">
        <v>109</v>
      </c>
    </row>
    <row r="57" spans="1:11" x14ac:dyDescent="0.25">
      <c r="A57" s="370"/>
      <c r="B57" s="391"/>
      <c r="C57" s="69" t="s">
        <v>36</v>
      </c>
      <c r="D57" s="69">
        <v>10</v>
      </c>
      <c r="E57" s="301">
        <v>43507.791666666664</v>
      </c>
      <c r="F57" s="301">
        <v>43507.863888888889</v>
      </c>
      <c r="G57" s="71">
        <v>1.7333333333954215</v>
      </c>
      <c r="H57" s="283" t="s">
        <v>137</v>
      </c>
      <c r="I57" s="69">
        <v>1</v>
      </c>
      <c r="J57" s="72" t="s">
        <v>90</v>
      </c>
      <c r="K57" s="73" t="s">
        <v>92</v>
      </c>
    </row>
    <row r="58" spans="1:11" x14ac:dyDescent="0.25">
      <c r="A58" s="370"/>
      <c r="B58" s="391"/>
      <c r="C58" s="69" t="s">
        <v>36</v>
      </c>
      <c r="D58" s="69">
        <v>6</v>
      </c>
      <c r="E58" s="301">
        <v>43508.069444444445</v>
      </c>
      <c r="F58" s="301">
        <v>43508.106944444444</v>
      </c>
      <c r="G58" s="71">
        <v>0.8999999999650754</v>
      </c>
      <c r="H58" s="283" t="s">
        <v>91</v>
      </c>
      <c r="I58" s="69">
        <v>0</v>
      </c>
      <c r="J58" s="72" t="s">
        <v>90</v>
      </c>
      <c r="K58" s="73" t="s">
        <v>92</v>
      </c>
    </row>
    <row r="59" spans="1:11" x14ac:dyDescent="0.25">
      <c r="A59" s="370"/>
      <c r="B59" s="391"/>
      <c r="C59" s="69" t="s">
        <v>36</v>
      </c>
      <c r="D59" s="69">
        <v>6</v>
      </c>
      <c r="E59" s="301">
        <v>43510.51458333333</v>
      </c>
      <c r="F59" s="301">
        <v>43510.617361111108</v>
      </c>
      <c r="G59" s="71">
        <v>2.4666666666744277</v>
      </c>
      <c r="H59" s="283" t="s">
        <v>91</v>
      </c>
      <c r="I59" s="69">
        <v>0</v>
      </c>
      <c r="J59" s="72" t="s">
        <v>90</v>
      </c>
      <c r="K59" s="73" t="s">
        <v>92</v>
      </c>
    </row>
    <row r="60" spans="1:11" x14ac:dyDescent="0.25">
      <c r="A60" s="370"/>
      <c r="B60" s="391"/>
      <c r="C60" s="69" t="s">
        <v>36</v>
      </c>
      <c r="D60" s="69">
        <v>6</v>
      </c>
      <c r="E60" s="301">
        <v>43513.495833333334</v>
      </c>
      <c r="F60" s="301">
        <v>43513.524305555555</v>
      </c>
      <c r="G60" s="71">
        <v>0.68333333329064772</v>
      </c>
      <c r="H60" s="283" t="s">
        <v>91</v>
      </c>
      <c r="I60" s="69">
        <v>0</v>
      </c>
      <c r="J60" s="72" t="s">
        <v>90</v>
      </c>
      <c r="K60" s="73" t="s">
        <v>92</v>
      </c>
    </row>
    <row r="61" spans="1:11" x14ac:dyDescent="0.25">
      <c r="A61" s="370"/>
      <c r="B61" s="391"/>
      <c r="C61" s="69" t="s">
        <v>2</v>
      </c>
      <c r="D61" s="69">
        <v>10</v>
      </c>
      <c r="E61" s="301">
        <v>43514.725694444445</v>
      </c>
      <c r="F61" s="301">
        <v>43514.743055555555</v>
      </c>
      <c r="G61" s="71">
        <v>0.41666666662786156</v>
      </c>
      <c r="H61" s="283" t="s">
        <v>104</v>
      </c>
      <c r="I61" s="69">
        <v>0</v>
      </c>
      <c r="J61" s="72" t="s">
        <v>90</v>
      </c>
      <c r="K61" s="73" t="s">
        <v>92</v>
      </c>
    </row>
    <row r="62" spans="1:11" x14ac:dyDescent="0.25">
      <c r="A62" s="370"/>
      <c r="B62" s="391"/>
      <c r="C62" s="69" t="s">
        <v>53</v>
      </c>
      <c r="D62" s="69">
        <v>6</v>
      </c>
      <c r="E62" s="301">
        <v>43515.392361111109</v>
      </c>
      <c r="F62" s="301">
        <v>43515.625</v>
      </c>
      <c r="G62" s="71">
        <v>5.5833333333721384</v>
      </c>
      <c r="H62" s="283" t="s">
        <v>138</v>
      </c>
      <c r="I62" s="69">
        <v>1</v>
      </c>
      <c r="J62" s="72" t="s">
        <v>139</v>
      </c>
      <c r="K62" s="73" t="s">
        <v>140</v>
      </c>
    </row>
    <row r="63" spans="1:11" x14ac:dyDescent="0.25">
      <c r="A63" s="370"/>
      <c r="B63" s="391"/>
      <c r="C63" s="69" t="s">
        <v>36</v>
      </c>
      <c r="D63" s="69">
        <v>10</v>
      </c>
      <c r="E63" s="301">
        <v>43518.694444444445</v>
      </c>
      <c r="F63" s="301">
        <v>43518.870833333334</v>
      </c>
      <c r="G63" s="71">
        <v>4.2333333333372138</v>
      </c>
      <c r="H63" s="283" t="s">
        <v>116</v>
      </c>
      <c r="I63" s="69">
        <v>1</v>
      </c>
      <c r="J63" s="72" t="s">
        <v>118</v>
      </c>
      <c r="K63" s="73" t="s">
        <v>120</v>
      </c>
    </row>
    <row r="64" spans="1:11" x14ac:dyDescent="0.25">
      <c r="A64" s="370"/>
      <c r="B64" s="391"/>
      <c r="C64" s="69" t="s">
        <v>53</v>
      </c>
      <c r="D64" s="69">
        <v>10</v>
      </c>
      <c r="E64" s="301">
        <v>43520.363194444442</v>
      </c>
      <c r="F64" s="301">
        <v>43520.394444444442</v>
      </c>
      <c r="G64" s="71">
        <v>0.75</v>
      </c>
      <c r="H64" s="283" t="s">
        <v>141</v>
      </c>
      <c r="I64" s="69">
        <v>1</v>
      </c>
      <c r="J64" s="72" t="s">
        <v>142</v>
      </c>
      <c r="K64" s="73" t="s">
        <v>143</v>
      </c>
    </row>
    <row r="65" spans="1:11" x14ac:dyDescent="0.25">
      <c r="A65" s="370"/>
      <c r="B65" s="391"/>
      <c r="C65" s="69" t="s">
        <v>2</v>
      </c>
      <c r="D65" s="69">
        <v>6</v>
      </c>
      <c r="E65" s="301">
        <v>43521.708333333336</v>
      </c>
      <c r="F65" s="301">
        <v>43521.87222222222</v>
      </c>
      <c r="G65" s="71">
        <v>3.9333333332324401</v>
      </c>
      <c r="H65" s="283" t="s">
        <v>144</v>
      </c>
      <c r="I65" s="69">
        <v>0</v>
      </c>
      <c r="J65" s="72" t="s">
        <v>96</v>
      </c>
      <c r="K65" s="73" t="s">
        <v>108</v>
      </c>
    </row>
    <row r="66" spans="1:11" x14ac:dyDescent="0.25">
      <c r="A66" s="370"/>
      <c r="B66" s="391"/>
      <c r="C66" s="69" t="s">
        <v>36</v>
      </c>
      <c r="D66" s="69">
        <v>6</v>
      </c>
      <c r="E66" s="301">
        <v>43521.708333333336</v>
      </c>
      <c r="F66" s="301">
        <v>43521.87222222222</v>
      </c>
      <c r="G66" s="71">
        <v>3.9333333332324401</v>
      </c>
      <c r="H66" s="283" t="s">
        <v>144</v>
      </c>
      <c r="I66" s="69">
        <v>0</v>
      </c>
      <c r="J66" s="72" t="s">
        <v>96</v>
      </c>
      <c r="K66" s="73" t="s">
        <v>108</v>
      </c>
    </row>
    <row r="67" spans="1:11" ht="15.75" thickBot="1" x14ac:dyDescent="0.3">
      <c r="A67" s="370"/>
      <c r="B67" s="392"/>
      <c r="C67" s="84" t="s">
        <v>36</v>
      </c>
      <c r="D67" s="84">
        <v>0.4</v>
      </c>
      <c r="E67" s="302">
        <v>43524.426388888889</v>
      </c>
      <c r="F67" s="302">
        <v>43524.436111111114</v>
      </c>
      <c r="G67" s="85">
        <v>0.2333333333954215</v>
      </c>
      <c r="H67" s="284" t="s">
        <v>102</v>
      </c>
      <c r="I67" s="84">
        <v>1</v>
      </c>
      <c r="J67" s="86" t="s">
        <v>97</v>
      </c>
      <c r="K67" s="87" t="s">
        <v>109</v>
      </c>
    </row>
    <row r="68" spans="1:11" x14ac:dyDescent="0.25">
      <c r="A68" s="370"/>
      <c r="B68" s="395" t="s">
        <v>70</v>
      </c>
      <c r="C68" s="79" t="s">
        <v>2</v>
      </c>
      <c r="D68" s="79">
        <v>6</v>
      </c>
      <c r="E68" s="267">
        <v>43499.461111111108</v>
      </c>
      <c r="F68" s="267">
        <v>43499.520138888889</v>
      </c>
      <c r="G68" s="81">
        <v>1.4166666667442769</v>
      </c>
      <c r="H68" s="282" t="s">
        <v>115</v>
      </c>
      <c r="I68" s="79">
        <v>1</v>
      </c>
      <c r="J68" s="82" t="s">
        <v>90</v>
      </c>
      <c r="K68" s="83" t="s">
        <v>108</v>
      </c>
    </row>
    <row r="69" spans="1:11" x14ac:dyDescent="0.25">
      <c r="A69" s="370"/>
      <c r="B69" s="391"/>
      <c r="C69" s="69" t="s">
        <v>52</v>
      </c>
      <c r="D69" s="69">
        <v>10</v>
      </c>
      <c r="E69" s="301">
        <v>43506.572916666664</v>
      </c>
      <c r="F69" s="301">
        <v>43506.677777777775</v>
      </c>
      <c r="G69" s="71">
        <v>2.5166666666627862</v>
      </c>
      <c r="H69" s="283" t="s">
        <v>104</v>
      </c>
      <c r="I69" s="69">
        <v>0</v>
      </c>
      <c r="J69" s="72" t="s">
        <v>90</v>
      </c>
      <c r="K69" s="73" t="s">
        <v>92</v>
      </c>
    </row>
    <row r="70" spans="1:11" x14ac:dyDescent="0.25">
      <c r="A70" s="370"/>
      <c r="B70" s="391"/>
      <c r="C70" s="69" t="s">
        <v>2</v>
      </c>
      <c r="D70" s="69">
        <v>0.4</v>
      </c>
      <c r="E70" s="301">
        <v>43513.729166666664</v>
      </c>
      <c r="F70" s="301">
        <v>43514.645833333336</v>
      </c>
      <c r="G70" s="71">
        <v>22.000000000116415</v>
      </c>
      <c r="H70" s="283" t="s">
        <v>115</v>
      </c>
      <c r="I70" s="69">
        <v>1</v>
      </c>
      <c r="J70" s="72" t="s">
        <v>96</v>
      </c>
      <c r="K70" s="73" t="s">
        <v>108</v>
      </c>
    </row>
    <row r="71" spans="1:11" x14ac:dyDescent="0.25">
      <c r="A71" s="370"/>
      <c r="B71" s="391"/>
      <c r="C71" s="69" t="s">
        <v>2</v>
      </c>
      <c r="D71" s="69">
        <v>10</v>
      </c>
      <c r="E71" s="301">
        <v>43516.469444444447</v>
      </c>
      <c r="F71" s="301">
        <v>43516.593055555553</v>
      </c>
      <c r="G71" s="71">
        <v>2.9666666665580124</v>
      </c>
      <c r="H71" s="283" t="s">
        <v>104</v>
      </c>
      <c r="I71" s="69">
        <v>0</v>
      </c>
      <c r="J71" s="72" t="s">
        <v>90</v>
      </c>
      <c r="K71" s="73" t="s">
        <v>92</v>
      </c>
    </row>
    <row r="72" spans="1:11" ht="15.75" thickBot="1" x14ac:dyDescent="0.3">
      <c r="A72" s="370"/>
      <c r="B72" s="392"/>
      <c r="C72" s="84" t="s">
        <v>36</v>
      </c>
      <c r="D72" s="84">
        <v>10</v>
      </c>
      <c r="E72" s="302">
        <v>43518.712500000001</v>
      </c>
      <c r="F72" s="302">
        <v>43519.638888888891</v>
      </c>
      <c r="G72" s="85">
        <v>22.233333333337214</v>
      </c>
      <c r="H72" s="284" t="s">
        <v>115</v>
      </c>
      <c r="I72" s="84">
        <v>1</v>
      </c>
      <c r="J72" s="86" t="s">
        <v>96</v>
      </c>
      <c r="K72" s="87" t="s">
        <v>108</v>
      </c>
    </row>
    <row r="73" spans="1:11" x14ac:dyDescent="0.25">
      <c r="A73" s="370"/>
      <c r="B73" s="395" t="s">
        <v>71</v>
      </c>
      <c r="C73" s="79" t="s">
        <v>2</v>
      </c>
      <c r="D73" s="79">
        <v>10</v>
      </c>
      <c r="E73" s="267">
        <v>43506.729166666664</v>
      </c>
      <c r="F73" s="267">
        <v>43506.819444444445</v>
      </c>
      <c r="G73" s="81">
        <v>2.1666666667442769</v>
      </c>
      <c r="H73" s="282" t="s">
        <v>104</v>
      </c>
      <c r="I73" s="79">
        <v>0</v>
      </c>
      <c r="J73" s="82" t="s">
        <v>90</v>
      </c>
      <c r="K73" s="83" t="s">
        <v>92</v>
      </c>
    </row>
    <row r="74" spans="1:11" ht="15.75" thickBot="1" x14ac:dyDescent="0.3">
      <c r="A74" s="370"/>
      <c r="B74" s="392"/>
      <c r="C74" s="84" t="s">
        <v>2</v>
      </c>
      <c r="D74" s="84">
        <v>10</v>
      </c>
      <c r="E74" s="302">
        <v>43510.392361111109</v>
      </c>
      <c r="F74" s="302">
        <v>43510.736111111109</v>
      </c>
      <c r="G74" s="85">
        <v>8.25</v>
      </c>
      <c r="H74" s="284" t="s">
        <v>115</v>
      </c>
      <c r="I74" s="84">
        <v>1</v>
      </c>
      <c r="J74" s="86" t="s">
        <v>90</v>
      </c>
      <c r="K74" s="87" t="s">
        <v>108</v>
      </c>
    </row>
    <row r="75" spans="1:11" x14ac:dyDescent="0.25">
      <c r="A75" s="370"/>
      <c r="B75" s="395" t="s">
        <v>72</v>
      </c>
      <c r="C75" s="79" t="s">
        <v>2</v>
      </c>
      <c r="D75" s="79">
        <v>10</v>
      </c>
      <c r="E75" s="267">
        <v>43504.390277777777</v>
      </c>
      <c r="F75" s="267">
        <v>43504.563888888886</v>
      </c>
      <c r="G75" s="81">
        <v>4.1666666666278616</v>
      </c>
      <c r="H75" s="282" t="s">
        <v>104</v>
      </c>
      <c r="I75" s="79">
        <v>0</v>
      </c>
      <c r="J75" s="82" t="s">
        <v>90</v>
      </c>
      <c r="K75" s="83" t="s">
        <v>92</v>
      </c>
    </row>
    <row r="76" spans="1:11" x14ac:dyDescent="0.25">
      <c r="A76" s="370"/>
      <c r="B76" s="391"/>
      <c r="C76" s="69" t="s">
        <v>2</v>
      </c>
      <c r="D76" s="69">
        <v>10</v>
      </c>
      <c r="E76" s="301">
        <v>43504.493055555555</v>
      </c>
      <c r="F76" s="301">
        <v>43504.606249999997</v>
      </c>
      <c r="G76" s="71">
        <v>2.71666666661622</v>
      </c>
      <c r="H76" s="283" t="s">
        <v>104</v>
      </c>
      <c r="I76" s="69">
        <v>0</v>
      </c>
      <c r="J76" s="72" t="s">
        <v>90</v>
      </c>
      <c r="K76" s="73" t="s">
        <v>92</v>
      </c>
    </row>
    <row r="77" spans="1:11" ht="15.75" thickBot="1" x14ac:dyDescent="0.3">
      <c r="A77" s="371"/>
      <c r="B77" s="396"/>
      <c r="C77" s="74" t="s">
        <v>2</v>
      </c>
      <c r="D77" s="74">
        <v>10</v>
      </c>
      <c r="E77" s="347">
        <v>43516.029166666667</v>
      </c>
      <c r="F77" s="347">
        <v>43516.505555555559</v>
      </c>
      <c r="G77" s="76">
        <v>11.433333333407063</v>
      </c>
      <c r="H77" s="285" t="s">
        <v>104</v>
      </c>
      <c r="I77" s="74">
        <v>0</v>
      </c>
      <c r="J77" s="77" t="s">
        <v>90</v>
      </c>
      <c r="K77" s="78" t="s">
        <v>92</v>
      </c>
    </row>
    <row r="78" spans="1:11" ht="15.75" thickTop="1" x14ac:dyDescent="0.25">
      <c r="A78" s="403" t="s">
        <v>44</v>
      </c>
      <c r="B78" s="376" t="s">
        <v>26</v>
      </c>
      <c r="C78" s="59" t="s">
        <v>2</v>
      </c>
      <c r="D78" s="55">
        <v>10</v>
      </c>
      <c r="E78" s="56">
        <v>43500.333333333336</v>
      </c>
      <c r="F78" s="56">
        <v>43500.57708333333</v>
      </c>
      <c r="G78" s="60">
        <v>5.8499999998603016</v>
      </c>
      <c r="H78" s="281" t="s">
        <v>104</v>
      </c>
      <c r="I78" s="59">
        <v>0</v>
      </c>
      <c r="J78" s="61" t="s">
        <v>90</v>
      </c>
      <c r="K78" s="62" t="s">
        <v>92</v>
      </c>
    </row>
    <row r="79" spans="1:11" x14ac:dyDescent="0.25">
      <c r="A79" s="404"/>
      <c r="B79" s="377"/>
      <c r="C79" s="100" t="s">
        <v>2</v>
      </c>
      <c r="D79" s="161">
        <v>6</v>
      </c>
      <c r="E79" s="251">
        <v>43500.611805555556</v>
      </c>
      <c r="F79" s="251">
        <v>43500.722222222219</v>
      </c>
      <c r="G79" s="102">
        <v>2.6499999999068677</v>
      </c>
      <c r="H79" s="290" t="s">
        <v>122</v>
      </c>
      <c r="I79" s="100">
        <v>1</v>
      </c>
      <c r="J79" s="103" t="s">
        <v>119</v>
      </c>
      <c r="K79" s="270" t="s">
        <v>123</v>
      </c>
    </row>
    <row r="80" spans="1:11" x14ac:dyDescent="0.25">
      <c r="A80" s="404"/>
      <c r="B80" s="377"/>
      <c r="C80" s="100" t="s">
        <v>2</v>
      </c>
      <c r="D80" s="161">
        <v>10</v>
      </c>
      <c r="E80" s="251">
        <v>43500.791666666664</v>
      </c>
      <c r="F80" s="251">
        <v>43501.402777777781</v>
      </c>
      <c r="G80" s="102">
        <v>14.666666666802485</v>
      </c>
      <c r="H80" s="290" t="s">
        <v>104</v>
      </c>
      <c r="I80" s="100">
        <v>0</v>
      </c>
      <c r="J80" s="103" t="s">
        <v>90</v>
      </c>
      <c r="K80" s="270" t="s">
        <v>92</v>
      </c>
    </row>
    <row r="81" spans="1:11" x14ac:dyDescent="0.25">
      <c r="A81" s="404"/>
      <c r="B81" s="377"/>
      <c r="C81" s="100" t="s">
        <v>2</v>
      </c>
      <c r="D81" s="161">
        <v>10</v>
      </c>
      <c r="E81" s="251">
        <v>43500.834722222222</v>
      </c>
      <c r="F81" s="251">
        <v>43500.911805555559</v>
      </c>
      <c r="G81" s="102">
        <v>1.8500000000931323</v>
      </c>
      <c r="H81" s="290" t="s">
        <v>106</v>
      </c>
      <c r="I81" s="100">
        <v>1</v>
      </c>
      <c r="J81" s="103" t="s">
        <v>90</v>
      </c>
      <c r="K81" s="270" t="s">
        <v>92</v>
      </c>
    </row>
    <row r="82" spans="1:11" x14ac:dyDescent="0.25">
      <c r="A82" s="404"/>
      <c r="B82" s="377"/>
      <c r="C82" s="100" t="s">
        <v>2</v>
      </c>
      <c r="D82" s="161">
        <v>10</v>
      </c>
      <c r="E82" s="251">
        <v>43501.523611111108</v>
      </c>
      <c r="F82" s="251">
        <v>43501.781944444447</v>
      </c>
      <c r="G82" s="102">
        <v>6.2000000001280569</v>
      </c>
      <c r="H82" s="290" t="s">
        <v>104</v>
      </c>
      <c r="I82" s="100">
        <v>0</v>
      </c>
      <c r="J82" s="103" t="s">
        <v>90</v>
      </c>
      <c r="K82" s="270" t="s">
        <v>92</v>
      </c>
    </row>
    <row r="83" spans="1:11" x14ac:dyDescent="0.25">
      <c r="A83" s="404"/>
      <c r="B83" s="377"/>
      <c r="C83" s="100" t="s">
        <v>2</v>
      </c>
      <c r="D83" s="161">
        <v>10</v>
      </c>
      <c r="E83" s="251">
        <v>43505.279166666667</v>
      </c>
      <c r="F83" s="251">
        <v>43505.395833333336</v>
      </c>
      <c r="G83" s="102">
        <v>2.8000000000465661</v>
      </c>
      <c r="H83" s="290" t="s">
        <v>104</v>
      </c>
      <c r="I83" s="100">
        <v>0</v>
      </c>
      <c r="J83" s="103" t="s">
        <v>90</v>
      </c>
      <c r="K83" s="270" t="s">
        <v>92</v>
      </c>
    </row>
    <row r="84" spans="1:11" x14ac:dyDescent="0.25">
      <c r="A84" s="404"/>
      <c r="B84" s="377"/>
      <c r="C84" s="100" t="s">
        <v>2</v>
      </c>
      <c r="D84" s="161">
        <v>0.4</v>
      </c>
      <c r="E84" s="251">
        <v>43505.333333333336</v>
      </c>
      <c r="F84" s="251">
        <v>43505.434027777781</v>
      </c>
      <c r="G84" s="102">
        <v>2.4166666666860692</v>
      </c>
      <c r="H84" s="290" t="s">
        <v>124</v>
      </c>
      <c r="I84" s="100">
        <v>0</v>
      </c>
      <c r="J84" s="103" t="s">
        <v>96</v>
      </c>
      <c r="K84" s="270" t="s">
        <v>108</v>
      </c>
    </row>
    <row r="85" spans="1:11" x14ac:dyDescent="0.25">
      <c r="A85" s="404"/>
      <c r="B85" s="377"/>
      <c r="C85" s="100" t="s">
        <v>2</v>
      </c>
      <c r="D85" s="161">
        <v>10</v>
      </c>
      <c r="E85" s="251">
        <v>43505.427083333336</v>
      </c>
      <c r="F85" s="251">
        <v>43505.59375</v>
      </c>
      <c r="G85" s="102">
        <v>3.9999999999417923</v>
      </c>
      <c r="H85" s="290" t="s">
        <v>104</v>
      </c>
      <c r="I85" s="100">
        <v>0</v>
      </c>
      <c r="J85" s="103" t="s">
        <v>90</v>
      </c>
      <c r="K85" s="270" t="s">
        <v>92</v>
      </c>
    </row>
    <row r="86" spans="1:11" x14ac:dyDescent="0.25">
      <c r="A86" s="404"/>
      <c r="B86" s="377"/>
      <c r="C86" s="100" t="s">
        <v>36</v>
      </c>
      <c r="D86" s="161">
        <v>0.4</v>
      </c>
      <c r="E86" s="251">
        <v>43507.597222222219</v>
      </c>
      <c r="F86" s="251">
        <v>43507.680555555555</v>
      </c>
      <c r="G86" s="102">
        <v>2.0000000000582077</v>
      </c>
      <c r="H86" s="290" t="s">
        <v>102</v>
      </c>
      <c r="I86" s="100">
        <v>1</v>
      </c>
      <c r="J86" s="103" t="s">
        <v>97</v>
      </c>
      <c r="K86" s="270" t="s">
        <v>109</v>
      </c>
    </row>
    <row r="87" spans="1:11" x14ac:dyDescent="0.25">
      <c r="A87" s="404"/>
      <c r="B87" s="377"/>
      <c r="C87" s="100" t="s">
        <v>36</v>
      </c>
      <c r="D87" s="161">
        <v>6</v>
      </c>
      <c r="E87" s="251">
        <v>43507.623611111114</v>
      </c>
      <c r="F87" s="251">
        <v>43507.640972222223</v>
      </c>
      <c r="G87" s="102">
        <v>0.41666666662786156</v>
      </c>
      <c r="H87" s="290" t="s">
        <v>114</v>
      </c>
      <c r="I87" s="100">
        <v>0</v>
      </c>
      <c r="J87" s="103" t="s">
        <v>97</v>
      </c>
      <c r="K87" s="270" t="s">
        <v>109</v>
      </c>
    </row>
    <row r="88" spans="1:11" x14ac:dyDescent="0.25">
      <c r="A88" s="404"/>
      <c r="B88" s="377"/>
      <c r="C88" s="100" t="s">
        <v>2</v>
      </c>
      <c r="D88" s="161">
        <v>0.4</v>
      </c>
      <c r="E88" s="251">
        <v>43508.232638888891</v>
      </c>
      <c r="F88" s="251">
        <v>43508.477083333331</v>
      </c>
      <c r="G88" s="102">
        <v>5.8666666665812954</v>
      </c>
      <c r="H88" s="290" t="s">
        <v>91</v>
      </c>
      <c r="I88" s="100">
        <v>0</v>
      </c>
      <c r="J88" s="103" t="s">
        <v>96</v>
      </c>
      <c r="K88" s="270" t="s">
        <v>108</v>
      </c>
    </row>
    <row r="89" spans="1:11" x14ac:dyDescent="0.25">
      <c r="A89" s="404"/>
      <c r="B89" s="377"/>
      <c r="C89" s="100" t="s">
        <v>2</v>
      </c>
      <c r="D89" s="161">
        <v>10</v>
      </c>
      <c r="E89" s="251">
        <v>43513.452777777777</v>
      </c>
      <c r="F89" s="251">
        <v>43513.489583333336</v>
      </c>
      <c r="G89" s="102">
        <v>0.88333333341870457</v>
      </c>
      <c r="H89" s="290" t="s">
        <v>104</v>
      </c>
      <c r="I89" s="100">
        <v>0</v>
      </c>
      <c r="J89" s="103" t="s">
        <v>90</v>
      </c>
      <c r="K89" s="270" t="s">
        <v>92</v>
      </c>
    </row>
    <row r="90" spans="1:11" x14ac:dyDescent="0.25">
      <c r="A90" s="404"/>
      <c r="B90" s="377"/>
      <c r="C90" s="100" t="s">
        <v>2</v>
      </c>
      <c r="D90" s="161">
        <v>10</v>
      </c>
      <c r="E90" s="251">
        <v>43517.173611111109</v>
      </c>
      <c r="F90" s="251">
        <v>43517.204861111109</v>
      </c>
      <c r="G90" s="102">
        <v>0.75</v>
      </c>
      <c r="H90" s="290" t="s">
        <v>104</v>
      </c>
      <c r="I90" s="100">
        <v>0</v>
      </c>
      <c r="J90" s="103" t="s">
        <v>90</v>
      </c>
      <c r="K90" s="270" t="s">
        <v>92</v>
      </c>
    </row>
    <row r="91" spans="1:11" x14ac:dyDescent="0.25">
      <c r="A91" s="404"/>
      <c r="B91" s="377"/>
      <c r="C91" s="100" t="s">
        <v>2</v>
      </c>
      <c r="D91" s="161">
        <v>10</v>
      </c>
      <c r="E91" s="251">
        <v>43517.215277777781</v>
      </c>
      <c r="F91" s="251">
        <v>43517.708333333336</v>
      </c>
      <c r="G91" s="102">
        <v>11.833333333313931</v>
      </c>
      <c r="H91" s="290" t="s">
        <v>104</v>
      </c>
      <c r="I91" s="100">
        <v>0</v>
      </c>
      <c r="J91" s="103" t="s">
        <v>90</v>
      </c>
      <c r="K91" s="270" t="s">
        <v>92</v>
      </c>
    </row>
    <row r="92" spans="1:11" x14ac:dyDescent="0.25">
      <c r="A92" s="404"/>
      <c r="B92" s="377"/>
      <c r="C92" s="100" t="s">
        <v>2</v>
      </c>
      <c r="D92" s="161">
        <v>10</v>
      </c>
      <c r="E92" s="251">
        <v>43517.239583333336</v>
      </c>
      <c r="F92" s="251">
        <v>43517.361111111109</v>
      </c>
      <c r="G92" s="102">
        <v>2.9166666665696539</v>
      </c>
      <c r="H92" s="290" t="s">
        <v>104</v>
      </c>
      <c r="I92" s="100">
        <v>0</v>
      </c>
      <c r="J92" s="103" t="s">
        <v>90</v>
      </c>
      <c r="K92" s="270" t="s">
        <v>92</v>
      </c>
    </row>
    <row r="93" spans="1:11" x14ac:dyDescent="0.25">
      <c r="A93" s="404"/>
      <c r="B93" s="377"/>
      <c r="C93" s="100" t="s">
        <v>2</v>
      </c>
      <c r="D93" s="161">
        <v>10</v>
      </c>
      <c r="E93" s="251">
        <v>43517.611111111109</v>
      </c>
      <c r="F93" s="251">
        <v>43517.642361111109</v>
      </c>
      <c r="G93" s="102">
        <v>0.75</v>
      </c>
      <c r="H93" s="290" t="s">
        <v>104</v>
      </c>
      <c r="I93" s="100">
        <v>0</v>
      </c>
      <c r="J93" s="103" t="s">
        <v>90</v>
      </c>
      <c r="K93" s="270" t="s">
        <v>92</v>
      </c>
    </row>
    <row r="94" spans="1:11" x14ac:dyDescent="0.25">
      <c r="A94" s="404"/>
      <c r="B94" s="377"/>
      <c r="C94" s="100" t="s">
        <v>2</v>
      </c>
      <c r="D94" s="161">
        <v>10</v>
      </c>
      <c r="E94" s="251">
        <v>43520.534722222219</v>
      </c>
      <c r="F94" s="251">
        <v>43520.569444444445</v>
      </c>
      <c r="G94" s="102">
        <v>0.8333333334303461</v>
      </c>
      <c r="H94" s="290" t="s">
        <v>104</v>
      </c>
      <c r="I94" s="100">
        <v>0</v>
      </c>
      <c r="J94" s="103" t="s">
        <v>90</v>
      </c>
      <c r="K94" s="270" t="s">
        <v>92</v>
      </c>
    </row>
    <row r="95" spans="1:11" x14ac:dyDescent="0.25">
      <c r="A95" s="404"/>
      <c r="B95" s="377"/>
      <c r="C95" s="100" t="s">
        <v>2</v>
      </c>
      <c r="D95" s="161">
        <v>10</v>
      </c>
      <c r="E95" s="251">
        <v>43520.677083333336</v>
      </c>
      <c r="F95" s="251">
        <v>43520.75</v>
      </c>
      <c r="G95" s="102">
        <v>1.7499999999417923</v>
      </c>
      <c r="H95" s="290" t="s">
        <v>104</v>
      </c>
      <c r="I95" s="100">
        <v>0</v>
      </c>
      <c r="J95" s="103" t="s">
        <v>90</v>
      </c>
      <c r="K95" s="270" t="s">
        <v>92</v>
      </c>
    </row>
    <row r="96" spans="1:11" x14ac:dyDescent="0.25">
      <c r="A96" s="404"/>
      <c r="B96" s="377"/>
      <c r="C96" s="100" t="s">
        <v>2</v>
      </c>
      <c r="D96" s="161">
        <v>10</v>
      </c>
      <c r="E96" s="251">
        <v>43521.604166666664</v>
      </c>
      <c r="F96" s="251">
        <v>43521.763888888891</v>
      </c>
      <c r="G96" s="102">
        <v>3.8333333334303461</v>
      </c>
      <c r="H96" s="290" t="s">
        <v>104</v>
      </c>
      <c r="I96" s="100">
        <v>0</v>
      </c>
      <c r="J96" s="103" t="s">
        <v>90</v>
      </c>
      <c r="K96" s="270" t="s">
        <v>92</v>
      </c>
    </row>
    <row r="97" spans="1:11" ht="15.75" thickBot="1" x14ac:dyDescent="0.3">
      <c r="A97" s="404"/>
      <c r="B97" s="378"/>
      <c r="C97" s="51" t="s">
        <v>2</v>
      </c>
      <c r="D97" s="253">
        <v>10</v>
      </c>
      <c r="E97" s="254">
        <v>43524.760416666664</v>
      </c>
      <c r="F97" s="254">
        <v>43524.815972222219</v>
      </c>
      <c r="G97" s="53">
        <v>1.3333333333139308</v>
      </c>
      <c r="H97" s="291" t="s">
        <v>104</v>
      </c>
      <c r="I97" s="51">
        <v>0</v>
      </c>
      <c r="J97" s="54" t="s">
        <v>90</v>
      </c>
      <c r="K97" s="257" t="s">
        <v>92</v>
      </c>
    </row>
    <row r="98" spans="1:11" x14ac:dyDescent="0.25">
      <c r="A98" s="404"/>
      <c r="B98" s="393" t="s">
        <v>51</v>
      </c>
      <c r="C98" s="47" t="s">
        <v>36</v>
      </c>
      <c r="D98" s="46">
        <v>10</v>
      </c>
      <c r="E98" s="45">
        <v>43508.763888888891</v>
      </c>
      <c r="F98" s="45">
        <v>43508.799305555556</v>
      </c>
      <c r="G98" s="49">
        <v>0.84999999997671694</v>
      </c>
      <c r="H98" s="289" t="s">
        <v>114</v>
      </c>
      <c r="I98" s="47">
        <v>0</v>
      </c>
      <c r="J98" s="50" t="s">
        <v>97</v>
      </c>
      <c r="K98" s="63" t="s">
        <v>109</v>
      </c>
    </row>
    <row r="99" spans="1:11" x14ac:dyDescent="0.25">
      <c r="A99" s="404"/>
      <c r="B99" s="377"/>
      <c r="C99" s="100" t="s">
        <v>2</v>
      </c>
      <c r="D99" s="161">
        <v>0.4</v>
      </c>
      <c r="E99" s="251">
        <v>43513.458333333336</v>
      </c>
      <c r="F99" s="251">
        <v>43513.508333333331</v>
      </c>
      <c r="G99" s="102">
        <v>1.1999999998952262</v>
      </c>
      <c r="H99" s="290" t="s">
        <v>125</v>
      </c>
      <c r="I99" s="100">
        <v>1</v>
      </c>
      <c r="J99" s="103" t="s">
        <v>90</v>
      </c>
      <c r="K99" s="270" t="s">
        <v>108</v>
      </c>
    </row>
    <row r="100" spans="1:11" x14ac:dyDescent="0.25">
      <c r="A100" s="404"/>
      <c r="B100" s="377"/>
      <c r="C100" s="100" t="s">
        <v>2</v>
      </c>
      <c r="D100" s="161">
        <v>0.4</v>
      </c>
      <c r="E100" s="251">
        <v>43517.486111111109</v>
      </c>
      <c r="F100" s="251">
        <v>43517.501388888886</v>
      </c>
      <c r="G100" s="102">
        <v>0.36666666663950309</v>
      </c>
      <c r="H100" s="290" t="s">
        <v>125</v>
      </c>
      <c r="I100" s="100">
        <v>1</v>
      </c>
      <c r="J100" s="103" t="s">
        <v>90</v>
      </c>
      <c r="K100" s="270" t="s">
        <v>108</v>
      </c>
    </row>
    <row r="101" spans="1:11" ht="15.75" thickBot="1" x14ac:dyDescent="0.3">
      <c r="A101" s="404"/>
      <c r="B101" s="378"/>
      <c r="C101" s="51" t="s">
        <v>2</v>
      </c>
      <c r="D101" s="253">
        <v>0.4</v>
      </c>
      <c r="E101" s="254">
        <v>43517.591666666667</v>
      </c>
      <c r="F101" s="254">
        <v>43517.60833333333</v>
      </c>
      <c r="G101" s="53">
        <v>0.39999999990686774</v>
      </c>
      <c r="H101" s="291" t="s">
        <v>125</v>
      </c>
      <c r="I101" s="51">
        <v>1</v>
      </c>
      <c r="J101" s="54" t="s">
        <v>90</v>
      </c>
      <c r="K101" s="257" t="s">
        <v>108</v>
      </c>
    </row>
    <row r="102" spans="1:11" x14ac:dyDescent="0.25">
      <c r="A102" s="404"/>
      <c r="B102" s="387" t="s">
        <v>27</v>
      </c>
      <c r="C102" s="46" t="s">
        <v>2</v>
      </c>
      <c r="D102" s="46">
        <v>10</v>
      </c>
      <c r="E102" s="45">
        <v>43500.732638888891</v>
      </c>
      <c r="F102" s="45">
        <v>43500.789583333331</v>
      </c>
      <c r="G102" s="49">
        <v>1.3666666665812954</v>
      </c>
      <c r="H102" s="289" t="s">
        <v>104</v>
      </c>
      <c r="I102" s="47">
        <v>0</v>
      </c>
      <c r="J102" s="50" t="s">
        <v>90</v>
      </c>
      <c r="K102" s="63" t="s">
        <v>92</v>
      </c>
    </row>
    <row r="103" spans="1:11" x14ac:dyDescent="0.25">
      <c r="A103" s="404"/>
      <c r="B103" s="388"/>
      <c r="C103" s="161" t="s">
        <v>2</v>
      </c>
      <c r="D103" s="161">
        <v>10</v>
      </c>
      <c r="E103" s="251">
        <v>43500.837500000001</v>
      </c>
      <c r="F103" s="251">
        <v>43500.853472222225</v>
      </c>
      <c r="G103" s="102">
        <v>0.38333333336049691</v>
      </c>
      <c r="H103" s="290" t="s">
        <v>106</v>
      </c>
      <c r="I103" s="100">
        <v>1</v>
      </c>
      <c r="J103" s="103" t="s">
        <v>90</v>
      </c>
      <c r="K103" s="270" t="s">
        <v>92</v>
      </c>
    </row>
    <row r="104" spans="1:11" x14ac:dyDescent="0.25">
      <c r="A104" s="404"/>
      <c r="B104" s="388"/>
      <c r="C104" s="161" t="s">
        <v>2</v>
      </c>
      <c r="D104" s="161">
        <v>6</v>
      </c>
      <c r="E104" s="251">
        <v>43508.841666666667</v>
      </c>
      <c r="F104" s="251">
        <v>43508.866666666669</v>
      </c>
      <c r="G104" s="102">
        <v>0.6000000000349246</v>
      </c>
      <c r="H104" s="290" t="s">
        <v>106</v>
      </c>
      <c r="I104" s="100">
        <v>1</v>
      </c>
      <c r="J104" s="103" t="s">
        <v>90</v>
      </c>
      <c r="K104" s="270" t="s">
        <v>92</v>
      </c>
    </row>
    <row r="105" spans="1:11" x14ac:dyDescent="0.25">
      <c r="A105" s="404"/>
      <c r="B105" s="388"/>
      <c r="C105" s="161" t="s">
        <v>52</v>
      </c>
      <c r="D105" s="161">
        <v>35</v>
      </c>
      <c r="E105" s="251">
        <v>43517.597916666666</v>
      </c>
      <c r="F105" s="251">
        <v>43517.675694444442</v>
      </c>
      <c r="G105" s="102">
        <v>1.8666666666395031</v>
      </c>
      <c r="H105" s="290" t="s">
        <v>131</v>
      </c>
      <c r="I105" s="100">
        <v>0</v>
      </c>
      <c r="J105" s="103" t="s">
        <v>90</v>
      </c>
      <c r="K105" s="270" t="s">
        <v>92</v>
      </c>
    </row>
    <row r="106" spans="1:11" ht="15.75" thickBot="1" x14ac:dyDescent="0.3">
      <c r="A106" s="405"/>
      <c r="B106" s="389"/>
      <c r="C106" s="274" t="s">
        <v>2</v>
      </c>
      <c r="D106" s="274">
        <v>10</v>
      </c>
      <c r="E106" s="275">
        <v>43524.96597222222</v>
      </c>
      <c r="F106" s="275">
        <v>43525.586111111108</v>
      </c>
      <c r="G106" s="119">
        <v>14.883333333302289</v>
      </c>
      <c r="H106" s="298" t="s">
        <v>132</v>
      </c>
      <c r="I106" s="117">
        <v>1</v>
      </c>
      <c r="J106" s="120" t="s">
        <v>119</v>
      </c>
      <c r="K106" s="121" t="s">
        <v>108</v>
      </c>
    </row>
    <row r="107" spans="1:11" ht="15.75" thickTop="1" x14ac:dyDescent="0.25">
      <c r="A107" s="369" t="s">
        <v>42</v>
      </c>
      <c r="B107" s="390" t="s">
        <v>74</v>
      </c>
      <c r="C107" s="64" t="s">
        <v>36</v>
      </c>
      <c r="D107" s="64">
        <v>6</v>
      </c>
      <c r="E107" s="65">
        <v>43504.364583333336</v>
      </c>
      <c r="F107" s="65">
        <v>43504.46875</v>
      </c>
      <c r="G107" s="66">
        <v>2.4999999999417923</v>
      </c>
      <c r="H107" s="303" t="s">
        <v>102</v>
      </c>
      <c r="I107" s="64">
        <v>1</v>
      </c>
      <c r="J107" s="67" t="s">
        <v>97</v>
      </c>
      <c r="K107" s="68" t="s">
        <v>109</v>
      </c>
    </row>
    <row r="108" spans="1:11" x14ac:dyDescent="0.25">
      <c r="A108" s="370"/>
      <c r="B108" s="391"/>
      <c r="C108" s="69" t="s">
        <v>36</v>
      </c>
      <c r="D108" s="69">
        <v>10</v>
      </c>
      <c r="E108" s="70">
        <v>43508.604166666664</v>
      </c>
      <c r="F108" s="70">
        <v>43508.635416666664</v>
      </c>
      <c r="G108" s="71">
        <v>0.75</v>
      </c>
      <c r="H108" s="283" t="s">
        <v>114</v>
      </c>
      <c r="I108" s="69">
        <v>0</v>
      </c>
      <c r="J108" s="72" t="s">
        <v>97</v>
      </c>
      <c r="K108" s="73" t="s">
        <v>109</v>
      </c>
    </row>
    <row r="109" spans="1:11" x14ac:dyDescent="0.25">
      <c r="A109" s="370"/>
      <c r="B109" s="391"/>
      <c r="C109" s="69" t="s">
        <v>36</v>
      </c>
      <c r="D109" s="69">
        <v>6</v>
      </c>
      <c r="E109" s="70">
        <v>43511.649305555555</v>
      </c>
      <c r="F109" s="70">
        <v>43511.684027777781</v>
      </c>
      <c r="G109" s="71">
        <v>0.8333333334303461</v>
      </c>
      <c r="H109" s="283" t="s">
        <v>102</v>
      </c>
      <c r="I109" s="69">
        <v>1</v>
      </c>
      <c r="J109" s="72" t="s">
        <v>97</v>
      </c>
      <c r="K109" s="73" t="s">
        <v>109</v>
      </c>
    </row>
    <row r="110" spans="1:11" ht="15.75" thickBot="1" x14ac:dyDescent="0.3">
      <c r="A110" s="370"/>
      <c r="B110" s="392"/>
      <c r="C110" s="84" t="s">
        <v>36</v>
      </c>
      <c r="D110" s="84">
        <v>10</v>
      </c>
      <c r="E110" s="116">
        <v>43517.6875</v>
      </c>
      <c r="F110" s="116">
        <v>43517.708333333336</v>
      </c>
      <c r="G110" s="85">
        <v>0.50000000005820766</v>
      </c>
      <c r="H110" s="284" t="s">
        <v>114</v>
      </c>
      <c r="I110" s="84">
        <v>0</v>
      </c>
      <c r="J110" s="86" t="s">
        <v>97</v>
      </c>
      <c r="K110" s="87" t="s">
        <v>109</v>
      </c>
    </row>
    <row r="111" spans="1:11" x14ac:dyDescent="0.25">
      <c r="A111" s="370"/>
      <c r="B111" s="395" t="s">
        <v>75</v>
      </c>
      <c r="C111" s="79" t="s">
        <v>2</v>
      </c>
      <c r="D111" s="79">
        <v>10</v>
      </c>
      <c r="E111" s="80">
        <v>43513.802083333336</v>
      </c>
      <c r="F111" s="80">
        <v>43513.875</v>
      </c>
      <c r="G111" s="81">
        <v>1.7499999999417923</v>
      </c>
      <c r="H111" s="282" t="s">
        <v>91</v>
      </c>
      <c r="I111" s="79">
        <v>0</v>
      </c>
      <c r="J111" s="82" t="s">
        <v>90</v>
      </c>
      <c r="K111" s="83" t="s">
        <v>92</v>
      </c>
    </row>
    <row r="112" spans="1:11" x14ac:dyDescent="0.25">
      <c r="A112" s="370"/>
      <c r="B112" s="391"/>
      <c r="C112" s="69" t="s">
        <v>2</v>
      </c>
      <c r="D112" s="69">
        <v>10</v>
      </c>
      <c r="E112" s="70">
        <v>43522.46875</v>
      </c>
      <c r="F112" s="70">
        <v>43522.503472222219</v>
      </c>
      <c r="G112" s="71">
        <v>0.83333333325572312</v>
      </c>
      <c r="H112" s="283" t="s">
        <v>91</v>
      </c>
      <c r="I112" s="69">
        <v>0</v>
      </c>
      <c r="J112" s="72" t="s">
        <v>90</v>
      </c>
      <c r="K112" s="73" t="s">
        <v>92</v>
      </c>
    </row>
    <row r="113" spans="1:11" x14ac:dyDescent="0.25">
      <c r="A113" s="370"/>
      <c r="B113" s="391"/>
      <c r="C113" s="69" t="s">
        <v>2</v>
      </c>
      <c r="D113" s="69">
        <v>10</v>
      </c>
      <c r="E113" s="70">
        <v>43522.46875</v>
      </c>
      <c r="F113" s="70">
        <v>43522.613194444442</v>
      </c>
      <c r="G113" s="71">
        <v>3.46666666661622</v>
      </c>
      <c r="H113" s="283" t="s">
        <v>91</v>
      </c>
      <c r="I113" s="69">
        <v>0</v>
      </c>
      <c r="J113" s="72" t="s">
        <v>90</v>
      </c>
      <c r="K113" s="73" t="s">
        <v>92</v>
      </c>
    </row>
    <row r="114" spans="1:11" x14ac:dyDescent="0.25">
      <c r="A114" s="370"/>
      <c r="B114" s="391"/>
      <c r="C114" s="69" t="s">
        <v>2</v>
      </c>
      <c r="D114" s="69">
        <v>10</v>
      </c>
      <c r="E114" s="70">
        <v>43524.90625</v>
      </c>
      <c r="F114" s="70">
        <v>43524.951388888891</v>
      </c>
      <c r="G114" s="71">
        <v>1.0833333333721384</v>
      </c>
      <c r="H114" s="283" t="s">
        <v>115</v>
      </c>
      <c r="I114" s="69">
        <v>1</v>
      </c>
      <c r="J114" s="72" t="s">
        <v>96</v>
      </c>
      <c r="K114" s="73" t="s">
        <v>108</v>
      </c>
    </row>
    <row r="115" spans="1:11" x14ac:dyDescent="0.25">
      <c r="A115" s="370"/>
      <c r="B115" s="391"/>
      <c r="C115" s="69" t="s">
        <v>2</v>
      </c>
      <c r="D115" s="69">
        <v>10</v>
      </c>
      <c r="E115" s="70">
        <v>43524.913194444445</v>
      </c>
      <c r="F115" s="70">
        <v>43524.951388888891</v>
      </c>
      <c r="G115" s="71">
        <v>0.91666666668606922</v>
      </c>
      <c r="H115" s="283" t="s">
        <v>106</v>
      </c>
      <c r="I115" s="69">
        <v>1</v>
      </c>
      <c r="J115" s="72" t="s">
        <v>90</v>
      </c>
      <c r="K115" s="73" t="s">
        <v>92</v>
      </c>
    </row>
    <row r="116" spans="1:11" ht="15.75" thickBot="1" x14ac:dyDescent="0.3">
      <c r="A116" s="370"/>
      <c r="B116" s="392"/>
      <c r="C116" s="84" t="s">
        <v>2</v>
      </c>
      <c r="D116" s="84">
        <v>10</v>
      </c>
      <c r="E116" s="116">
        <v>43524.96875</v>
      </c>
      <c r="F116" s="116">
        <v>43524.986111111109</v>
      </c>
      <c r="G116" s="85">
        <v>0.41666666662786156</v>
      </c>
      <c r="H116" s="284" t="s">
        <v>106</v>
      </c>
      <c r="I116" s="84">
        <v>1</v>
      </c>
      <c r="J116" s="86" t="s">
        <v>90</v>
      </c>
      <c r="K116" s="87" t="s">
        <v>92</v>
      </c>
    </row>
    <row r="117" spans="1:11" x14ac:dyDescent="0.25">
      <c r="A117" s="370"/>
      <c r="B117" s="395" t="s">
        <v>73</v>
      </c>
      <c r="C117" s="79" t="s">
        <v>52</v>
      </c>
      <c r="D117" s="79">
        <v>10</v>
      </c>
      <c r="E117" s="80">
        <v>43516.409722222219</v>
      </c>
      <c r="F117" s="80">
        <v>43516.431944444441</v>
      </c>
      <c r="G117" s="81">
        <v>0.53333333332557231</v>
      </c>
      <c r="H117" s="282" t="s">
        <v>104</v>
      </c>
      <c r="I117" s="79">
        <v>0</v>
      </c>
      <c r="J117" s="82" t="s">
        <v>90</v>
      </c>
      <c r="K117" s="83" t="s">
        <v>92</v>
      </c>
    </row>
    <row r="118" spans="1:11" ht="15.75" thickBot="1" x14ac:dyDescent="0.3">
      <c r="A118" s="370"/>
      <c r="B118" s="392"/>
      <c r="C118" s="84" t="s">
        <v>36</v>
      </c>
      <c r="D118" s="84">
        <v>6</v>
      </c>
      <c r="E118" s="116">
        <v>43519.791666666664</v>
      </c>
      <c r="F118" s="116">
        <v>43520.659722222219</v>
      </c>
      <c r="G118" s="85">
        <v>20.833333333313931</v>
      </c>
      <c r="H118" s="284" t="s">
        <v>102</v>
      </c>
      <c r="I118" s="84">
        <v>1</v>
      </c>
      <c r="J118" s="86" t="s">
        <v>97</v>
      </c>
      <c r="K118" s="87" t="s">
        <v>109</v>
      </c>
    </row>
    <row r="119" spans="1:11" x14ac:dyDescent="0.25">
      <c r="A119" s="370"/>
      <c r="B119" s="395" t="s">
        <v>23</v>
      </c>
      <c r="C119" s="79" t="s">
        <v>2</v>
      </c>
      <c r="D119" s="79">
        <v>10</v>
      </c>
      <c r="E119" s="80">
        <v>43499.427777777775</v>
      </c>
      <c r="F119" s="80">
        <v>43499.454861111109</v>
      </c>
      <c r="G119" s="81">
        <v>0.65000000002328306</v>
      </c>
      <c r="H119" s="282" t="s">
        <v>102</v>
      </c>
      <c r="I119" s="79">
        <v>1</v>
      </c>
      <c r="J119" s="82" t="s">
        <v>97</v>
      </c>
      <c r="K119" s="83" t="s">
        <v>109</v>
      </c>
    </row>
    <row r="120" spans="1:11" x14ac:dyDescent="0.25">
      <c r="A120" s="370"/>
      <c r="B120" s="391"/>
      <c r="C120" s="69" t="s">
        <v>2</v>
      </c>
      <c r="D120" s="69">
        <v>10</v>
      </c>
      <c r="E120" s="70">
        <v>43500.673611111109</v>
      </c>
      <c r="F120" s="70">
        <v>43500.715277777781</v>
      </c>
      <c r="G120" s="71">
        <v>1.0000000001164153</v>
      </c>
      <c r="H120" s="283" t="s">
        <v>104</v>
      </c>
      <c r="I120" s="69">
        <v>0</v>
      </c>
      <c r="J120" s="72" t="s">
        <v>90</v>
      </c>
      <c r="K120" s="73" t="s">
        <v>92</v>
      </c>
    </row>
    <row r="121" spans="1:11" x14ac:dyDescent="0.25">
      <c r="A121" s="370"/>
      <c r="B121" s="391"/>
      <c r="C121" s="69" t="s">
        <v>2</v>
      </c>
      <c r="D121" s="69">
        <v>10</v>
      </c>
      <c r="E121" s="70">
        <v>43500.715277777781</v>
      </c>
      <c r="F121" s="70">
        <v>43500.850694444445</v>
      </c>
      <c r="G121" s="71">
        <v>3.2499999999417923</v>
      </c>
      <c r="H121" s="283" t="s">
        <v>115</v>
      </c>
      <c r="I121" s="69">
        <v>1</v>
      </c>
      <c r="J121" s="72" t="s">
        <v>90</v>
      </c>
      <c r="K121" s="73" t="s">
        <v>108</v>
      </c>
    </row>
    <row r="122" spans="1:11" x14ac:dyDescent="0.25">
      <c r="A122" s="370"/>
      <c r="B122" s="391"/>
      <c r="C122" s="69" t="s">
        <v>2</v>
      </c>
      <c r="D122" s="69">
        <v>10</v>
      </c>
      <c r="E122" s="70">
        <v>43500.855555555558</v>
      </c>
      <c r="F122" s="70">
        <v>43500.878472222219</v>
      </c>
      <c r="G122" s="71">
        <v>0.54999999987194315</v>
      </c>
      <c r="H122" s="283" t="s">
        <v>115</v>
      </c>
      <c r="I122" s="69">
        <v>1</v>
      </c>
      <c r="J122" s="72" t="s">
        <v>90</v>
      </c>
      <c r="K122" s="73" t="s">
        <v>108</v>
      </c>
    </row>
    <row r="123" spans="1:11" x14ac:dyDescent="0.25">
      <c r="A123" s="370"/>
      <c r="B123" s="391"/>
      <c r="C123" s="69" t="s">
        <v>2</v>
      </c>
      <c r="D123" s="69">
        <v>10</v>
      </c>
      <c r="E123" s="70">
        <v>43500.878472222219</v>
      </c>
      <c r="F123" s="70">
        <v>43500.934027777781</v>
      </c>
      <c r="G123" s="71">
        <v>1.3333333334885538</v>
      </c>
      <c r="H123" s="283" t="s">
        <v>133</v>
      </c>
      <c r="I123" s="69">
        <v>0</v>
      </c>
      <c r="J123" s="72" t="s">
        <v>90</v>
      </c>
      <c r="K123" s="73" t="s">
        <v>92</v>
      </c>
    </row>
    <row r="124" spans="1:11" x14ac:dyDescent="0.25">
      <c r="A124" s="370"/>
      <c r="B124" s="391"/>
      <c r="C124" s="69" t="s">
        <v>2</v>
      </c>
      <c r="D124" s="69">
        <v>10</v>
      </c>
      <c r="E124" s="70">
        <v>43500.940972222219</v>
      </c>
      <c r="F124" s="70">
        <v>43500.96875</v>
      </c>
      <c r="G124" s="71">
        <v>0.66666666674427688</v>
      </c>
      <c r="H124" s="283" t="s">
        <v>133</v>
      </c>
      <c r="I124" s="69">
        <v>0</v>
      </c>
      <c r="J124" s="72" t="s">
        <v>90</v>
      </c>
      <c r="K124" s="73" t="s">
        <v>92</v>
      </c>
    </row>
    <row r="125" spans="1:11" x14ac:dyDescent="0.25">
      <c r="A125" s="370"/>
      <c r="B125" s="391"/>
      <c r="C125" s="69" t="s">
        <v>2</v>
      </c>
      <c r="D125" s="69">
        <v>10</v>
      </c>
      <c r="E125" s="70">
        <v>43502.46875</v>
      </c>
      <c r="F125" s="70">
        <v>43502.512499999997</v>
      </c>
      <c r="G125" s="71">
        <v>1.0499999999301508</v>
      </c>
      <c r="H125" s="283" t="s">
        <v>114</v>
      </c>
      <c r="I125" s="69">
        <v>0</v>
      </c>
      <c r="J125" s="72" t="s">
        <v>97</v>
      </c>
      <c r="K125" s="73" t="s">
        <v>109</v>
      </c>
    </row>
    <row r="126" spans="1:11" x14ac:dyDescent="0.25">
      <c r="A126" s="370"/>
      <c r="B126" s="391"/>
      <c r="C126" s="69" t="s">
        <v>2</v>
      </c>
      <c r="D126" s="69">
        <v>10</v>
      </c>
      <c r="E126" s="70">
        <v>43503.246527777781</v>
      </c>
      <c r="F126" s="70">
        <v>43503.401388888888</v>
      </c>
      <c r="G126" s="71">
        <v>3.7166666665580124</v>
      </c>
      <c r="H126" s="283" t="s">
        <v>104</v>
      </c>
      <c r="I126" s="69">
        <v>0</v>
      </c>
      <c r="J126" s="72" t="s">
        <v>90</v>
      </c>
      <c r="K126" s="73" t="s">
        <v>92</v>
      </c>
    </row>
    <row r="127" spans="1:11" x14ac:dyDescent="0.25">
      <c r="A127" s="370"/>
      <c r="B127" s="391"/>
      <c r="C127" s="69" t="s">
        <v>2</v>
      </c>
      <c r="D127" s="69">
        <v>10</v>
      </c>
      <c r="E127" s="70">
        <v>43508.430555555555</v>
      </c>
      <c r="F127" s="70">
        <v>43508.618055555555</v>
      </c>
      <c r="G127" s="71">
        <v>4.5</v>
      </c>
      <c r="H127" s="283" t="s">
        <v>133</v>
      </c>
      <c r="I127" s="69">
        <v>0</v>
      </c>
      <c r="J127" s="72" t="s">
        <v>90</v>
      </c>
      <c r="K127" s="73" t="s">
        <v>92</v>
      </c>
    </row>
    <row r="128" spans="1:11" x14ac:dyDescent="0.25">
      <c r="A128" s="370"/>
      <c r="B128" s="391"/>
      <c r="C128" s="69" t="s">
        <v>36</v>
      </c>
      <c r="D128" s="69">
        <v>10</v>
      </c>
      <c r="E128" s="70">
        <v>43513.534722222219</v>
      </c>
      <c r="F128" s="70">
        <v>43513.556250000001</v>
      </c>
      <c r="G128" s="71">
        <v>0.51666666677920148</v>
      </c>
      <c r="H128" s="283" t="s">
        <v>106</v>
      </c>
      <c r="I128" s="69">
        <v>1</v>
      </c>
      <c r="J128" s="72" t="s">
        <v>90</v>
      </c>
      <c r="K128" s="73" t="s">
        <v>92</v>
      </c>
    </row>
    <row r="129" spans="1:11" x14ac:dyDescent="0.25">
      <c r="A129" s="370"/>
      <c r="B129" s="391"/>
      <c r="C129" s="69" t="s">
        <v>2</v>
      </c>
      <c r="D129" s="69">
        <v>10</v>
      </c>
      <c r="E129" s="70">
        <v>43513.854166666664</v>
      </c>
      <c r="F129" s="70">
        <v>43513.913194444445</v>
      </c>
      <c r="G129" s="71">
        <v>1.4166666667442769</v>
      </c>
      <c r="H129" s="283" t="s">
        <v>104</v>
      </c>
      <c r="I129" s="69">
        <v>0</v>
      </c>
      <c r="J129" s="72" t="s">
        <v>90</v>
      </c>
      <c r="K129" s="73" t="s">
        <v>92</v>
      </c>
    </row>
    <row r="130" spans="1:11" x14ac:dyDescent="0.25">
      <c r="A130" s="370"/>
      <c r="B130" s="391"/>
      <c r="C130" s="69" t="s">
        <v>2</v>
      </c>
      <c r="D130" s="69">
        <v>0.4</v>
      </c>
      <c r="E130" s="70">
        <v>43515.524305555555</v>
      </c>
      <c r="F130" s="70">
        <v>43515.597222222219</v>
      </c>
      <c r="G130" s="71">
        <v>1.7499999999417923</v>
      </c>
      <c r="H130" s="283" t="s">
        <v>134</v>
      </c>
      <c r="I130" s="69">
        <v>0</v>
      </c>
      <c r="J130" s="72" t="s">
        <v>96</v>
      </c>
      <c r="K130" s="73" t="s">
        <v>108</v>
      </c>
    </row>
    <row r="131" spans="1:11" x14ac:dyDescent="0.25">
      <c r="A131" s="370"/>
      <c r="B131" s="391"/>
      <c r="C131" s="69" t="s">
        <v>2</v>
      </c>
      <c r="D131" s="69">
        <v>0.4</v>
      </c>
      <c r="E131" s="70">
        <v>43517.385416666664</v>
      </c>
      <c r="F131" s="70">
        <v>43517.65902777778</v>
      </c>
      <c r="G131" s="71">
        <v>6.5666666667675599</v>
      </c>
      <c r="H131" s="283" t="s">
        <v>135</v>
      </c>
      <c r="I131" s="69">
        <v>1</v>
      </c>
      <c r="J131" s="72" t="s">
        <v>96</v>
      </c>
      <c r="K131" s="73" t="s">
        <v>108</v>
      </c>
    </row>
    <row r="132" spans="1:11" x14ac:dyDescent="0.25">
      <c r="A132" s="370"/>
      <c r="B132" s="391"/>
      <c r="C132" s="69" t="s">
        <v>2</v>
      </c>
      <c r="D132" s="69">
        <v>10</v>
      </c>
      <c r="E132" s="70">
        <v>43519.510416666664</v>
      </c>
      <c r="F132" s="70">
        <v>43519.583333333336</v>
      </c>
      <c r="G132" s="71">
        <v>1.7500000001164153</v>
      </c>
      <c r="H132" s="283" t="s">
        <v>104</v>
      </c>
      <c r="I132" s="69">
        <v>0</v>
      </c>
      <c r="J132" s="72" t="s">
        <v>90</v>
      </c>
      <c r="K132" s="73" t="s">
        <v>92</v>
      </c>
    </row>
    <row r="133" spans="1:11" ht="15.75" thickBot="1" x14ac:dyDescent="0.3">
      <c r="A133" s="371"/>
      <c r="B133" s="396"/>
      <c r="C133" s="74" t="s">
        <v>2</v>
      </c>
      <c r="D133" s="74">
        <v>10</v>
      </c>
      <c r="E133" s="75">
        <v>43519.8125</v>
      </c>
      <c r="F133" s="75">
        <v>43519.895833333336</v>
      </c>
      <c r="G133" s="76">
        <v>2.0000000000582077</v>
      </c>
      <c r="H133" s="285" t="s">
        <v>104</v>
      </c>
      <c r="I133" s="74">
        <v>0</v>
      </c>
      <c r="J133" s="77" t="s">
        <v>90</v>
      </c>
      <c r="K133" s="78" t="s">
        <v>92</v>
      </c>
    </row>
    <row r="134" spans="1:11" ht="15.75" thickTop="1" x14ac:dyDescent="0.25"/>
    <row r="137" spans="1:11" ht="105" customHeight="1" x14ac:dyDescent="0.25">
      <c r="A137" s="372" t="s">
        <v>39</v>
      </c>
      <c r="B137" s="372"/>
      <c r="C137" s="372"/>
      <c r="D137" s="372"/>
      <c r="E137" s="372"/>
      <c r="F137" s="372"/>
      <c r="G137" s="372"/>
      <c r="H137" s="372"/>
      <c r="I137" s="372"/>
      <c r="J137" s="372"/>
      <c r="K137" s="372"/>
    </row>
  </sheetData>
  <autoFilter ref="A2:K133"/>
  <mergeCells count="26">
    <mergeCell ref="A17:A30"/>
    <mergeCell ref="B19:B29"/>
    <mergeCell ref="A107:A133"/>
    <mergeCell ref="B1:J1"/>
    <mergeCell ref="B8:B9"/>
    <mergeCell ref="B111:B116"/>
    <mergeCell ref="A3:A16"/>
    <mergeCell ref="B15:B16"/>
    <mergeCell ref="B3:B7"/>
    <mergeCell ref="B11:B12"/>
    <mergeCell ref="A137:K137"/>
    <mergeCell ref="A31:A51"/>
    <mergeCell ref="B31:B44"/>
    <mergeCell ref="B45:B51"/>
    <mergeCell ref="A52:A77"/>
    <mergeCell ref="A78:A106"/>
    <mergeCell ref="B102:B106"/>
    <mergeCell ref="B107:B110"/>
    <mergeCell ref="B78:B97"/>
    <mergeCell ref="B98:B101"/>
    <mergeCell ref="B52:B67"/>
    <mergeCell ref="B68:B72"/>
    <mergeCell ref="B119:B133"/>
    <mergeCell ref="B73:B74"/>
    <mergeCell ref="B75:B77"/>
    <mergeCell ref="B117:B118"/>
  </mergeCells>
  <dataValidations count="5">
    <dataValidation type="list" allowBlank="1" showInputMessage="1" showErrorMessage="1" sqref="H14">
      <mc:AlternateContent xmlns:x12ac="http://schemas.microsoft.com/office/spreadsheetml/2011/1/ac" xmlns:mc="http://schemas.openxmlformats.org/markup-compatibility/2006">
        <mc:Choice Requires="x12ac">
          <x12ac:list>Ошибки персонала," Несоблюдение сроков, объемов ТО", Возд. пост. лиц, Возд. стих. явлений," Дефекты монтажа, изделия, проекта", Невыявленные причины, Неклассифицированные причины, Повреждение в сетях Ленэнерго, Повреждение в сетях потребителя</x12ac:list>
        </mc:Choice>
        <mc:Fallback>
          <formula1>"Ошибки персонала, Несоблюдение сроков, объемов ТО, Возд. пост. лиц, Возд. стих. явлений, Дефекты монтажа, изделия, проекта, Невыявленные причины, Неклассифицированные причины, Повреждение в сетях Ленэнерго, Повреждение в сетях потребителя"</formula1>
        </mc:Fallback>
      </mc:AlternateContent>
    </dataValidation>
    <dataValidation type="list" allowBlank="1" showInputMessage="1" showErrorMessage="1" sqref="C3:C133">
      <formula1>"ПС, ТП, РП, ВЛ, КЛ"</formula1>
    </dataValidation>
    <dataValidation type="list" allowBlank="1" showInputMessage="1" showErrorMessage="1" sqref="D3:D133">
      <mc:AlternateContent xmlns:x12ac="http://schemas.microsoft.com/office/spreadsheetml/2011/1/ac" xmlns:mc="http://schemas.openxmlformats.org/markup-compatibility/2006">
        <mc:Choice Requires="x12ac">
          <x12ac:list>"0,4", 6, 10, 35, 110</x12ac:list>
        </mc:Choice>
        <mc:Fallback>
          <formula1>"0,4, 6, 10, 35, 110"</formula1>
        </mc:Fallback>
      </mc:AlternateContent>
    </dataValidation>
    <dataValidation type="list" allowBlank="1" showInputMessage="1" showErrorMessage="1" sqref="I3:I133">
      <formula1>"1, 0,"</formula1>
    </dataValidation>
    <dataValidation type="list" allowBlank="1" showInputMessage="1" showErrorMessage="1" sqref="J3:J133">
      <formula1>"Кабель,Провод,Опора,Изолятор, Контакт.соед,Трансформатор,ТТ,ТН,Выключатель,Разъединитель,ВН,Рубильник,АВ,Разрядник,ОПН,-,"</formula1>
    </dataValidation>
  </dataValidations>
  <pageMargins left="0.7" right="0.7" top="0.75" bottom="0.75" header="0.3" footer="0.3"/>
  <pageSetup paperSize="9" scale="70" fitToHeight="0" orientation="landscape" r:id="rId1"/>
  <rowBreaks count="2" manualBreakCount="2">
    <brk id="30" max="10" man="1"/>
    <brk id="118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view="pageBreakPreview" zoomScale="60" zoomScaleNormal="90" workbookViewId="0">
      <selection activeCell="A110" sqref="A110:K110"/>
    </sheetView>
  </sheetViews>
  <sheetFormatPr defaultRowHeight="15" x14ac:dyDescent="0.25"/>
  <cols>
    <col min="1" max="1" width="21.85546875" customWidth="1"/>
    <col min="2" max="2" width="15.5703125" customWidth="1"/>
    <col min="4" max="4" width="9.28515625" customWidth="1"/>
    <col min="5" max="5" width="15.28515625" bestFit="1" customWidth="1"/>
    <col min="6" max="6" width="15.5703125" customWidth="1"/>
    <col min="7" max="7" width="12.140625" style="99" customWidth="1"/>
    <col min="8" max="8" width="39.5703125" customWidth="1"/>
    <col min="9" max="9" width="10.28515625" customWidth="1"/>
    <col min="10" max="10" width="16" customWidth="1"/>
    <col min="11" max="11" width="23.42578125" customWidth="1"/>
    <col min="23" max="23" width="15.28515625" bestFit="1" customWidth="1"/>
  </cols>
  <sheetData>
    <row r="1" spans="1:13" ht="19.5" thickBot="1" x14ac:dyDescent="0.35">
      <c r="B1" s="401" t="s">
        <v>84</v>
      </c>
      <c r="C1" s="401"/>
      <c r="D1" s="401"/>
      <c r="E1" s="401"/>
      <c r="F1" s="401"/>
      <c r="G1" s="401"/>
      <c r="H1" s="401"/>
      <c r="I1" s="401"/>
      <c r="J1" s="401"/>
    </row>
    <row r="2" spans="1:13" ht="143.25" thickTop="1" thickBot="1" x14ac:dyDescent="0.3">
      <c r="A2" s="162" t="s">
        <v>3</v>
      </c>
      <c r="B2" s="163" t="s">
        <v>12</v>
      </c>
      <c r="C2" s="163" t="s">
        <v>0</v>
      </c>
      <c r="D2" s="164" t="s">
        <v>13</v>
      </c>
      <c r="E2" s="164" t="s">
        <v>14</v>
      </c>
      <c r="F2" s="164" t="s">
        <v>15</v>
      </c>
      <c r="G2" s="164" t="s">
        <v>16</v>
      </c>
      <c r="H2" s="164" t="s">
        <v>76</v>
      </c>
      <c r="I2" s="164" t="s">
        <v>38</v>
      </c>
      <c r="J2" s="164" t="s">
        <v>1</v>
      </c>
      <c r="K2" s="165" t="s">
        <v>17</v>
      </c>
      <c r="L2" s="92"/>
      <c r="M2" s="92"/>
    </row>
    <row r="3" spans="1:13" ht="15.75" thickTop="1" x14ac:dyDescent="0.25">
      <c r="A3" s="403" t="s">
        <v>40</v>
      </c>
      <c r="B3" s="406" t="s">
        <v>20</v>
      </c>
      <c r="C3" s="55" t="s">
        <v>36</v>
      </c>
      <c r="D3" s="55">
        <v>10</v>
      </c>
      <c r="E3" s="56">
        <v>43529.520833333336</v>
      </c>
      <c r="F3" s="56">
        <v>43529.652777777781</v>
      </c>
      <c r="G3" s="57">
        <v>3.1666666666860692</v>
      </c>
      <c r="H3" s="308" t="s">
        <v>102</v>
      </c>
      <c r="I3" s="55">
        <v>1</v>
      </c>
      <c r="J3" s="58" t="s">
        <v>97</v>
      </c>
      <c r="K3" s="62" t="s">
        <v>103</v>
      </c>
      <c r="L3" s="300"/>
      <c r="M3" s="300"/>
    </row>
    <row r="4" spans="1:13" x14ac:dyDescent="0.25">
      <c r="A4" s="404"/>
      <c r="B4" s="388"/>
      <c r="C4" s="161" t="s">
        <v>36</v>
      </c>
      <c r="D4" s="161">
        <v>10</v>
      </c>
      <c r="E4" s="251">
        <v>43543.114583333336</v>
      </c>
      <c r="F4" s="251">
        <v>43543.458333333336</v>
      </c>
      <c r="G4" s="252">
        <v>8.25</v>
      </c>
      <c r="H4" s="287" t="s">
        <v>91</v>
      </c>
      <c r="I4" s="161">
        <v>0</v>
      </c>
      <c r="J4" s="269" t="s">
        <v>90</v>
      </c>
      <c r="K4" s="270" t="s">
        <v>92</v>
      </c>
      <c r="L4" s="316"/>
      <c r="M4" s="316"/>
    </row>
    <row r="5" spans="1:13" ht="15.75" thickBot="1" x14ac:dyDescent="0.3">
      <c r="A5" s="404"/>
      <c r="B5" s="407"/>
      <c r="C5" s="253" t="s">
        <v>2</v>
      </c>
      <c r="D5" s="253">
        <v>10</v>
      </c>
      <c r="E5" s="254">
        <v>43547.659722222219</v>
      </c>
      <c r="F5" s="254">
        <v>43547.736111111109</v>
      </c>
      <c r="G5" s="255">
        <v>1.8333333333721384</v>
      </c>
      <c r="H5" s="292" t="s">
        <v>104</v>
      </c>
      <c r="I5" s="253">
        <v>0</v>
      </c>
      <c r="J5" s="256" t="s">
        <v>90</v>
      </c>
      <c r="K5" s="257" t="s">
        <v>92</v>
      </c>
      <c r="L5" s="316"/>
      <c r="M5" s="316"/>
    </row>
    <row r="6" spans="1:13" ht="15.75" thickBot="1" x14ac:dyDescent="0.3">
      <c r="A6" s="404"/>
      <c r="B6" s="295" t="s">
        <v>21</v>
      </c>
      <c r="C6" s="288" t="s">
        <v>36</v>
      </c>
      <c r="D6" s="288">
        <v>10</v>
      </c>
      <c r="E6" s="323">
        <v>43536.350694444445</v>
      </c>
      <c r="F6" s="323">
        <v>43536.457638888889</v>
      </c>
      <c r="G6" s="324">
        <v>2.5666666666511446</v>
      </c>
      <c r="H6" s="296" t="s">
        <v>93</v>
      </c>
      <c r="I6" s="288">
        <v>1</v>
      </c>
      <c r="J6" s="325" t="s">
        <v>90</v>
      </c>
      <c r="K6" s="333" t="s">
        <v>92</v>
      </c>
    </row>
    <row r="7" spans="1:13" ht="15.75" thickBot="1" x14ac:dyDescent="0.3">
      <c r="A7" s="404"/>
      <c r="B7" s="295" t="s">
        <v>28</v>
      </c>
      <c r="C7" s="181"/>
      <c r="D7" s="181"/>
      <c r="E7" s="182"/>
      <c r="F7" s="182"/>
      <c r="G7" s="183"/>
      <c r="H7" s="184"/>
      <c r="I7" s="181"/>
      <c r="J7" s="185"/>
      <c r="K7" s="186"/>
    </row>
    <row r="8" spans="1:13" ht="15.75" thickBot="1" x14ac:dyDescent="0.3">
      <c r="A8" s="404"/>
      <c r="B8" s="295" t="s">
        <v>29</v>
      </c>
      <c r="C8" s="181"/>
      <c r="D8" s="181"/>
      <c r="E8" s="182"/>
      <c r="F8" s="182"/>
      <c r="G8" s="183"/>
      <c r="H8" s="337"/>
      <c r="I8" s="181"/>
      <c r="J8" s="185"/>
      <c r="K8" s="186"/>
    </row>
    <row r="9" spans="1:13" x14ac:dyDescent="0.25">
      <c r="A9" s="404"/>
      <c r="B9" s="393" t="s">
        <v>33</v>
      </c>
      <c r="C9" s="47" t="s">
        <v>2</v>
      </c>
      <c r="D9" s="47">
        <v>10</v>
      </c>
      <c r="E9" s="48">
        <v>43533.465277777781</v>
      </c>
      <c r="F9" s="48">
        <v>43533.489583333336</v>
      </c>
      <c r="G9" s="49">
        <v>0.58333333331393078</v>
      </c>
      <c r="H9" s="286" t="s">
        <v>106</v>
      </c>
      <c r="I9" s="47">
        <v>1</v>
      </c>
      <c r="J9" s="50" t="s">
        <v>90</v>
      </c>
      <c r="K9" s="112" t="s">
        <v>92</v>
      </c>
    </row>
    <row r="10" spans="1:13" ht="15.75" thickBot="1" x14ac:dyDescent="0.3">
      <c r="A10" s="404"/>
      <c r="B10" s="378"/>
      <c r="C10" s="51" t="s">
        <v>2</v>
      </c>
      <c r="D10" s="51">
        <v>10</v>
      </c>
      <c r="E10" s="52">
        <v>43540.527777777781</v>
      </c>
      <c r="F10" s="52">
        <v>43540.534722222219</v>
      </c>
      <c r="G10" s="53">
        <v>0.16666666651144624</v>
      </c>
      <c r="H10" s="292" t="s">
        <v>106</v>
      </c>
      <c r="I10" s="51">
        <v>1</v>
      </c>
      <c r="J10" s="54" t="s">
        <v>90</v>
      </c>
      <c r="K10" s="111" t="s">
        <v>92</v>
      </c>
    </row>
    <row r="11" spans="1:13" ht="15.75" thickBot="1" x14ac:dyDescent="0.3">
      <c r="A11" s="404"/>
      <c r="B11" s="295" t="s">
        <v>34</v>
      </c>
      <c r="C11" s="181"/>
      <c r="D11" s="181"/>
      <c r="E11" s="182"/>
      <c r="F11" s="182"/>
      <c r="G11" s="183"/>
      <c r="H11" s="184"/>
      <c r="I11" s="181"/>
      <c r="J11" s="185"/>
      <c r="K11" s="186"/>
    </row>
    <row r="12" spans="1:13" x14ac:dyDescent="0.25">
      <c r="A12" s="404"/>
      <c r="B12" s="393" t="s">
        <v>35</v>
      </c>
      <c r="C12" s="47" t="s">
        <v>2</v>
      </c>
      <c r="D12" s="47">
        <v>10</v>
      </c>
      <c r="E12" s="48">
        <v>43525.8125</v>
      </c>
      <c r="F12" s="48">
        <v>43525.859027777777</v>
      </c>
      <c r="G12" s="49">
        <v>1.1166666666395031</v>
      </c>
      <c r="H12" s="286" t="s">
        <v>91</v>
      </c>
      <c r="I12" s="46">
        <v>0</v>
      </c>
      <c r="J12" s="43" t="s">
        <v>90</v>
      </c>
      <c r="K12" s="63" t="s">
        <v>92</v>
      </c>
    </row>
    <row r="13" spans="1:13" ht="15.75" thickBot="1" x14ac:dyDescent="0.3">
      <c r="A13" s="405"/>
      <c r="B13" s="394"/>
      <c r="C13" s="117" t="s">
        <v>2</v>
      </c>
      <c r="D13" s="117">
        <v>10</v>
      </c>
      <c r="E13" s="118">
        <v>43525.854166666664</v>
      </c>
      <c r="F13" s="118">
        <v>43525.934027777781</v>
      </c>
      <c r="G13" s="119">
        <v>1.9166666668024845</v>
      </c>
      <c r="H13" s="293" t="s">
        <v>91</v>
      </c>
      <c r="I13" s="274">
        <v>0</v>
      </c>
      <c r="J13" s="277" t="s">
        <v>90</v>
      </c>
      <c r="K13" s="278" t="s">
        <v>92</v>
      </c>
    </row>
    <row r="14" spans="1:13" ht="15.75" thickTop="1" x14ac:dyDescent="0.25">
      <c r="A14" s="369" t="s">
        <v>43</v>
      </c>
      <c r="B14" s="390" t="s">
        <v>24</v>
      </c>
      <c r="C14" s="64" t="s">
        <v>36</v>
      </c>
      <c r="D14" s="64">
        <v>10</v>
      </c>
      <c r="E14" s="65">
        <v>43528.097916666666</v>
      </c>
      <c r="F14" s="65">
        <v>43528.121527777781</v>
      </c>
      <c r="G14" s="66">
        <v>0.56666666676755995</v>
      </c>
      <c r="H14" s="303" t="s">
        <v>113</v>
      </c>
      <c r="I14" s="64">
        <v>1</v>
      </c>
      <c r="J14" s="67" t="s">
        <v>97</v>
      </c>
      <c r="K14" s="68" t="s">
        <v>109</v>
      </c>
    </row>
    <row r="15" spans="1:13" x14ac:dyDescent="0.25">
      <c r="A15" s="370"/>
      <c r="B15" s="391"/>
      <c r="C15" s="69" t="s">
        <v>2</v>
      </c>
      <c r="D15" s="69">
        <v>10</v>
      </c>
      <c r="E15" s="70">
        <v>43533.270833333336</v>
      </c>
      <c r="F15" s="70">
        <v>43533.305555555555</v>
      </c>
      <c r="G15" s="71">
        <v>0.83333333325572312</v>
      </c>
      <c r="H15" s="313" t="s">
        <v>104</v>
      </c>
      <c r="I15" s="69">
        <v>0</v>
      </c>
      <c r="J15" s="72" t="s">
        <v>90</v>
      </c>
      <c r="K15" s="73" t="s">
        <v>92</v>
      </c>
    </row>
    <row r="16" spans="1:13" x14ac:dyDescent="0.25">
      <c r="A16" s="370"/>
      <c r="B16" s="391"/>
      <c r="C16" s="69" t="s">
        <v>2</v>
      </c>
      <c r="D16" s="69">
        <v>10</v>
      </c>
      <c r="E16" s="70">
        <v>43533.270833333336</v>
      </c>
      <c r="F16" s="70">
        <v>43533.347222222219</v>
      </c>
      <c r="G16" s="71">
        <v>1.8333333331975155</v>
      </c>
      <c r="H16" s="283" t="s">
        <v>106</v>
      </c>
      <c r="I16" s="69">
        <v>1</v>
      </c>
      <c r="J16" s="72" t="s">
        <v>90</v>
      </c>
      <c r="K16" s="73" t="s">
        <v>92</v>
      </c>
    </row>
    <row r="17" spans="1:11" x14ac:dyDescent="0.25">
      <c r="A17" s="370"/>
      <c r="B17" s="391"/>
      <c r="C17" s="69" t="s">
        <v>36</v>
      </c>
      <c r="D17" s="69">
        <v>10</v>
      </c>
      <c r="E17" s="70">
        <v>43535.920138888891</v>
      </c>
      <c r="F17" s="70">
        <v>43535.951388888891</v>
      </c>
      <c r="G17" s="71">
        <v>0.75</v>
      </c>
      <c r="H17" s="283" t="s">
        <v>113</v>
      </c>
      <c r="I17" s="69">
        <v>1</v>
      </c>
      <c r="J17" s="72" t="s">
        <v>97</v>
      </c>
      <c r="K17" s="73" t="s">
        <v>109</v>
      </c>
    </row>
    <row r="18" spans="1:11" x14ac:dyDescent="0.25">
      <c r="A18" s="370"/>
      <c r="B18" s="391"/>
      <c r="C18" s="69" t="s">
        <v>36</v>
      </c>
      <c r="D18" s="69">
        <v>10</v>
      </c>
      <c r="E18" s="70">
        <v>43535.940972222219</v>
      </c>
      <c r="F18" s="70">
        <v>43536.006944444445</v>
      </c>
      <c r="G18" s="71">
        <v>1.5833333334303461</v>
      </c>
      <c r="H18" s="283" t="s">
        <v>113</v>
      </c>
      <c r="I18" s="69">
        <v>1</v>
      </c>
      <c r="J18" s="72" t="s">
        <v>97</v>
      </c>
      <c r="K18" s="73" t="s">
        <v>109</v>
      </c>
    </row>
    <row r="19" spans="1:11" x14ac:dyDescent="0.25">
      <c r="A19" s="370"/>
      <c r="B19" s="391"/>
      <c r="C19" s="69" t="s">
        <v>36</v>
      </c>
      <c r="D19" s="69">
        <v>10</v>
      </c>
      <c r="E19" s="70">
        <v>43541.270833333336</v>
      </c>
      <c r="F19" s="70">
        <v>43541.3125</v>
      </c>
      <c r="G19" s="71">
        <v>0.99999999994179234</v>
      </c>
      <c r="H19" s="283" t="s">
        <v>113</v>
      </c>
      <c r="I19" s="69">
        <v>1</v>
      </c>
      <c r="J19" s="72" t="s">
        <v>97</v>
      </c>
      <c r="K19" s="73" t="s">
        <v>109</v>
      </c>
    </row>
    <row r="20" spans="1:11" x14ac:dyDescent="0.25">
      <c r="A20" s="370"/>
      <c r="B20" s="391"/>
      <c r="C20" s="69" t="s">
        <v>2</v>
      </c>
      <c r="D20" s="69">
        <v>10</v>
      </c>
      <c r="E20" s="70">
        <v>43546.53125</v>
      </c>
      <c r="F20" s="70">
        <v>43546.555555555555</v>
      </c>
      <c r="G20" s="71">
        <v>0.58333333331393078</v>
      </c>
      <c r="H20" s="313" t="s">
        <v>104</v>
      </c>
      <c r="I20" s="69">
        <v>0</v>
      </c>
      <c r="J20" s="72" t="s">
        <v>90</v>
      </c>
      <c r="K20" s="73" t="s">
        <v>92</v>
      </c>
    </row>
    <row r="21" spans="1:11" x14ac:dyDescent="0.25">
      <c r="A21" s="370"/>
      <c r="B21" s="391"/>
      <c r="C21" s="69" t="s">
        <v>36</v>
      </c>
      <c r="D21" s="69">
        <v>10</v>
      </c>
      <c r="E21" s="70">
        <v>43550.298611111109</v>
      </c>
      <c r="F21" s="70">
        <v>43550.4375</v>
      </c>
      <c r="G21" s="71">
        <v>3.3333333333721384</v>
      </c>
      <c r="H21" s="283" t="s">
        <v>113</v>
      </c>
      <c r="I21" s="69">
        <v>1</v>
      </c>
      <c r="J21" s="72" t="s">
        <v>97</v>
      </c>
      <c r="K21" s="73" t="s">
        <v>109</v>
      </c>
    </row>
    <row r="22" spans="1:11" ht="15.75" thickBot="1" x14ac:dyDescent="0.3">
      <c r="A22" s="370"/>
      <c r="B22" s="392"/>
      <c r="C22" s="84" t="s">
        <v>36</v>
      </c>
      <c r="D22" s="84">
        <v>10</v>
      </c>
      <c r="E22" s="116">
        <v>43552.375</v>
      </c>
      <c r="F22" s="116">
        <v>43552.520833333336</v>
      </c>
      <c r="G22" s="85">
        <v>3.5000000000582077</v>
      </c>
      <c r="H22" s="315" t="s">
        <v>104</v>
      </c>
      <c r="I22" s="84">
        <v>0</v>
      </c>
      <c r="J22" s="86" t="s">
        <v>90</v>
      </c>
      <c r="K22" s="87" t="s">
        <v>92</v>
      </c>
    </row>
    <row r="23" spans="1:11" ht="15.75" thickBot="1" x14ac:dyDescent="0.3">
      <c r="A23" s="370"/>
      <c r="B23" s="338" t="s">
        <v>25</v>
      </c>
      <c r="C23" s="262" t="s">
        <v>2</v>
      </c>
      <c r="D23" s="262">
        <v>6</v>
      </c>
      <c r="E23" s="263">
        <v>43533.466666666667</v>
      </c>
      <c r="F23" s="263">
        <v>43533.95416666667</v>
      </c>
      <c r="G23" s="264">
        <v>11.700000000069849</v>
      </c>
      <c r="H23" s="348" t="s">
        <v>102</v>
      </c>
      <c r="I23" s="262">
        <v>1</v>
      </c>
      <c r="J23" s="265" t="s">
        <v>97</v>
      </c>
      <c r="K23" s="266" t="s">
        <v>109</v>
      </c>
    </row>
    <row r="24" spans="1:11" x14ac:dyDescent="0.25">
      <c r="A24" s="370"/>
      <c r="B24" s="397" t="s">
        <v>18</v>
      </c>
      <c r="C24" s="79" t="s">
        <v>36</v>
      </c>
      <c r="D24" s="79">
        <v>10</v>
      </c>
      <c r="E24" s="80">
        <v>43526.9375</v>
      </c>
      <c r="F24" s="80">
        <v>43527.194444444445</v>
      </c>
      <c r="G24" s="81">
        <v>6.1666666666860692</v>
      </c>
      <c r="H24" s="314" t="s">
        <v>122</v>
      </c>
      <c r="I24" s="79">
        <v>1</v>
      </c>
      <c r="J24" s="82" t="s">
        <v>119</v>
      </c>
      <c r="K24" s="83" t="s">
        <v>123</v>
      </c>
    </row>
    <row r="25" spans="1:11" x14ac:dyDescent="0.25">
      <c r="A25" s="370"/>
      <c r="B25" s="398"/>
      <c r="C25" s="69" t="s">
        <v>36</v>
      </c>
      <c r="D25" s="69">
        <v>10</v>
      </c>
      <c r="E25" s="70">
        <v>43527.4375</v>
      </c>
      <c r="F25" s="70">
        <v>43527.5625</v>
      </c>
      <c r="G25" s="71">
        <v>3</v>
      </c>
      <c r="H25" s="313" t="s">
        <v>122</v>
      </c>
      <c r="I25" s="69">
        <v>1</v>
      </c>
      <c r="J25" s="72" t="s">
        <v>119</v>
      </c>
      <c r="K25" s="73" t="s">
        <v>123</v>
      </c>
    </row>
    <row r="26" spans="1:11" x14ac:dyDescent="0.25">
      <c r="A26" s="370"/>
      <c r="B26" s="398"/>
      <c r="C26" s="69" t="s">
        <v>36</v>
      </c>
      <c r="D26" s="69">
        <v>10</v>
      </c>
      <c r="E26" s="70">
        <v>43530.229166666664</v>
      </c>
      <c r="F26" s="70">
        <v>43530.262499999997</v>
      </c>
      <c r="G26" s="71">
        <v>0.79999999998835847</v>
      </c>
      <c r="H26" s="313" t="s">
        <v>102</v>
      </c>
      <c r="I26" s="69">
        <v>1</v>
      </c>
      <c r="J26" s="72" t="s">
        <v>97</v>
      </c>
      <c r="K26" s="73" t="s">
        <v>109</v>
      </c>
    </row>
    <row r="27" spans="1:11" x14ac:dyDescent="0.25">
      <c r="A27" s="370"/>
      <c r="B27" s="398"/>
      <c r="C27" s="69" t="s">
        <v>36</v>
      </c>
      <c r="D27" s="69">
        <v>10</v>
      </c>
      <c r="E27" s="70">
        <v>43533.413194444445</v>
      </c>
      <c r="F27" s="70">
        <v>43533.612500000003</v>
      </c>
      <c r="G27" s="71">
        <v>4.78333333338378</v>
      </c>
      <c r="H27" s="283" t="s">
        <v>122</v>
      </c>
      <c r="I27" s="69">
        <v>1</v>
      </c>
      <c r="J27" s="72" t="s">
        <v>119</v>
      </c>
      <c r="K27" s="73" t="s">
        <v>123</v>
      </c>
    </row>
    <row r="28" spans="1:11" x14ac:dyDescent="0.25">
      <c r="A28" s="370"/>
      <c r="B28" s="398"/>
      <c r="C28" s="69" t="s">
        <v>2</v>
      </c>
      <c r="D28" s="69">
        <v>10</v>
      </c>
      <c r="E28" s="70">
        <v>43533.448611111111</v>
      </c>
      <c r="F28" s="70">
        <v>43533.743055555555</v>
      </c>
      <c r="G28" s="71">
        <v>7.0666666666511446</v>
      </c>
      <c r="H28" s="283" t="s">
        <v>106</v>
      </c>
      <c r="I28" s="69">
        <v>1</v>
      </c>
      <c r="J28" s="72" t="s">
        <v>90</v>
      </c>
      <c r="K28" s="73" t="s">
        <v>92</v>
      </c>
    </row>
    <row r="29" spans="1:11" x14ac:dyDescent="0.25">
      <c r="A29" s="370"/>
      <c r="B29" s="398"/>
      <c r="C29" s="69" t="s">
        <v>2</v>
      </c>
      <c r="D29" s="69">
        <v>10</v>
      </c>
      <c r="E29" s="70">
        <v>43535.319444444445</v>
      </c>
      <c r="F29" s="70">
        <v>43535.40625</v>
      </c>
      <c r="G29" s="71">
        <v>2.0833333333139308</v>
      </c>
      <c r="H29" s="283" t="s">
        <v>106</v>
      </c>
      <c r="I29" s="69">
        <v>1</v>
      </c>
      <c r="J29" s="72" t="s">
        <v>90</v>
      </c>
      <c r="K29" s="73" t="s">
        <v>92</v>
      </c>
    </row>
    <row r="30" spans="1:11" x14ac:dyDescent="0.25">
      <c r="A30" s="370"/>
      <c r="B30" s="398"/>
      <c r="C30" s="69" t="s">
        <v>2</v>
      </c>
      <c r="D30" s="69">
        <v>10</v>
      </c>
      <c r="E30" s="70">
        <v>43545.538194444445</v>
      </c>
      <c r="F30" s="70">
        <v>43545.583333333336</v>
      </c>
      <c r="G30" s="71">
        <v>1.0833333333721384</v>
      </c>
      <c r="H30" s="283" t="s">
        <v>93</v>
      </c>
      <c r="I30" s="69">
        <v>1</v>
      </c>
      <c r="J30" s="72" t="s">
        <v>90</v>
      </c>
      <c r="K30" s="73" t="s">
        <v>92</v>
      </c>
    </row>
    <row r="31" spans="1:11" ht="15.75" thickBot="1" x14ac:dyDescent="0.3">
      <c r="A31" s="370"/>
      <c r="B31" s="399"/>
      <c r="C31" s="84" t="s">
        <v>2</v>
      </c>
      <c r="D31" s="84">
        <v>10</v>
      </c>
      <c r="E31" s="116">
        <v>43552.635416666664</v>
      </c>
      <c r="F31" s="116">
        <v>43552.679166666669</v>
      </c>
      <c r="G31" s="85">
        <v>1.0500000001047738</v>
      </c>
      <c r="H31" s="315" t="s">
        <v>104</v>
      </c>
      <c r="I31" s="84">
        <v>0</v>
      </c>
      <c r="J31" s="86" t="s">
        <v>90</v>
      </c>
      <c r="K31" s="87" t="s">
        <v>92</v>
      </c>
    </row>
    <row r="32" spans="1:11" x14ac:dyDescent="0.25">
      <c r="A32" s="370"/>
      <c r="B32" s="397" t="s">
        <v>19</v>
      </c>
      <c r="C32" s="79" t="s">
        <v>2</v>
      </c>
      <c r="D32" s="79">
        <v>10</v>
      </c>
      <c r="E32" s="80">
        <v>43526.972222222219</v>
      </c>
      <c r="F32" s="80">
        <v>43527.104166666664</v>
      </c>
      <c r="G32" s="81">
        <v>3.1666666666860692</v>
      </c>
      <c r="H32" s="314" t="s">
        <v>106</v>
      </c>
      <c r="I32" s="79">
        <v>1</v>
      </c>
      <c r="J32" s="82" t="s">
        <v>90</v>
      </c>
      <c r="K32" s="83" t="s">
        <v>92</v>
      </c>
    </row>
    <row r="33" spans="1:11" ht="15.75" thickBot="1" x14ac:dyDescent="0.3">
      <c r="A33" s="371"/>
      <c r="B33" s="400"/>
      <c r="C33" s="74" t="s">
        <v>36</v>
      </c>
      <c r="D33" s="74">
        <v>10</v>
      </c>
      <c r="E33" s="75">
        <v>43546.489583333336</v>
      </c>
      <c r="F33" s="75">
        <v>43546.605555555558</v>
      </c>
      <c r="G33" s="76">
        <v>2.7833333333255723</v>
      </c>
      <c r="H33" s="285" t="s">
        <v>106</v>
      </c>
      <c r="I33" s="74">
        <v>1</v>
      </c>
      <c r="J33" s="77" t="s">
        <v>90</v>
      </c>
      <c r="K33" s="78" t="s">
        <v>92</v>
      </c>
    </row>
    <row r="34" spans="1:11" ht="15.75" thickTop="1" x14ac:dyDescent="0.25">
      <c r="A34" s="373" t="s">
        <v>30</v>
      </c>
      <c r="B34" s="376" t="s">
        <v>31</v>
      </c>
      <c r="C34" s="59" t="s">
        <v>36</v>
      </c>
      <c r="D34" s="59">
        <v>10</v>
      </c>
      <c r="E34" s="258">
        <v>43526.472222222219</v>
      </c>
      <c r="F34" s="258">
        <v>43526.522222222222</v>
      </c>
      <c r="G34" s="60">
        <v>1.2000000000698492</v>
      </c>
      <c r="H34" s="281" t="s">
        <v>113</v>
      </c>
      <c r="I34" s="59">
        <v>1</v>
      </c>
      <c r="J34" s="61" t="s">
        <v>97</v>
      </c>
      <c r="K34" s="62" t="s">
        <v>109</v>
      </c>
    </row>
    <row r="35" spans="1:11" x14ac:dyDescent="0.25">
      <c r="A35" s="374"/>
      <c r="B35" s="377"/>
      <c r="C35" s="100" t="s">
        <v>2</v>
      </c>
      <c r="D35" s="100">
        <v>10</v>
      </c>
      <c r="E35" s="101">
        <v>43533.422222222223</v>
      </c>
      <c r="F35" s="101">
        <v>43533.447916666664</v>
      </c>
      <c r="G35" s="102">
        <v>0.61666666658129543</v>
      </c>
      <c r="H35" s="290" t="s">
        <v>161</v>
      </c>
      <c r="I35" s="100">
        <v>0</v>
      </c>
      <c r="J35" s="103" t="s">
        <v>90</v>
      </c>
      <c r="K35" s="270" t="s">
        <v>92</v>
      </c>
    </row>
    <row r="36" spans="1:11" x14ac:dyDescent="0.25">
      <c r="A36" s="374"/>
      <c r="B36" s="377"/>
      <c r="C36" s="100" t="s">
        <v>2</v>
      </c>
      <c r="D36" s="100">
        <v>10</v>
      </c>
      <c r="E36" s="101">
        <v>43540.211805555555</v>
      </c>
      <c r="F36" s="101">
        <v>43540.218055555553</v>
      </c>
      <c r="G36" s="102">
        <v>0.1499999999650754</v>
      </c>
      <c r="H36" s="287" t="s">
        <v>104</v>
      </c>
      <c r="I36" s="161">
        <v>0</v>
      </c>
      <c r="J36" s="269" t="s">
        <v>90</v>
      </c>
      <c r="K36" s="270" t="s">
        <v>92</v>
      </c>
    </row>
    <row r="37" spans="1:11" x14ac:dyDescent="0.25">
      <c r="A37" s="374"/>
      <c r="B37" s="377"/>
      <c r="C37" s="100" t="s">
        <v>53</v>
      </c>
      <c r="D37" s="100">
        <v>10</v>
      </c>
      <c r="E37" s="101">
        <v>43541.262499999997</v>
      </c>
      <c r="F37" s="101">
        <v>43541.293749999997</v>
      </c>
      <c r="G37" s="102">
        <v>0.75</v>
      </c>
      <c r="H37" s="287" t="s">
        <v>104</v>
      </c>
      <c r="I37" s="161">
        <v>0</v>
      </c>
      <c r="J37" s="269" t="s">
        <v>90</v>
      </c>
      <c r="K37" s="270" t="s">
        <v>92</v>
      </c>
    </row>
    <row r="38" spans="1:11" x14ac:dyDescent="0.25">
      <c r="A38" s="374"/>
      <c r="B38" s="377"/>
      <c r="C38" s="100" t="s">
        <v>53</v>
      </c>
      <c r="D38" s="100">
        <v>10</v>
      </c>
      <c r="E38" s="101">
        <v>43541.388888888891</v>
      </c>
      <c r="F38" s="101">
        <v>43541.409722222219</v>
      </c>
      <c r="G38" s="102">
        <v>0.49999999988358468</v>
      </c>
      <c r="H38" s="287" t="s">
        <v>104</v>
      </c>
      <c r="I38" s="161">
        <v>0</v>
      </c>
      <c r="J38" s="269" t="s">
        <v>90</v>
      </c>
      <c r="K38" s="270" t="s">
        <v>92</v>
      </c>
    </row>
    <row r="39" spans="1:11" x14ac:dyDescent="0.25">
      <c r="A39" s="374"/>
      <c r="B39" s="377"/>
      <c r="C39" s="100" t="s">
        <v>36</v>
      </c>
      <c r="D39" s="100">
        <v>10</v>
      </c>
      <c r="E39" s="101">
        <v>43546.364583333336</v>
      </c>
      <c r="F39" s="101">
        <v>43546.484027777777</v>
      </c>
      <c r="G39" s="102">
        <v>2.8666666665812954</v>
      </c>
      <c r="H39" s="290" t="s">
        <v>106</v>
      </c>
      <c r="I39" s="100">
        <v>1</v>
      </c>
      <c r="J39" s="103" t="s">
        <v>90</v>
      </c>
      <c r="K39" s="270" t="s">
        <v>92</v>
      </c>
    </row>
    <row r="40" spans="1:11" ht="15.75" thickBot="1" x14ac:dyDescent="0.3">
      <c r="A40" s="374"/>
      <c r="B40" s="378"/>
      <c r="C40" s="51" t="s">
        <v>36</v>
      </c>
      <c r="D40" s="51">
        <v>10</v>
      </c>
      <c r="E40" s="52">
        <v>43554.576388888891</v>
      </c>
      <c r="F40" s="52">
        <v>43554.579861111109</v>
      </c>
      <c r="G40" s="53">
        <v>8.3333333255723119E-2</v>
      </c>
      <c r="H40" s="291" t="s">
        <v>113</v>
      </c>
      <c r="I40" s="51">
        <v>1</v>
      </c>
      <c r="J40" s="54" t="s">
        <v>97</v>
      </c>
      <c r="K40" s="111" t="s">
        <v>109</v>
      </c>
    </row>
    <row r="41" spans="1:11" x14ac:dyDescent="0.25">
      <c r="A41" s="374"/>
      <c r="B41" s="393" t="s">
        <v>32</v>
      </c>
      <c r="C41" s="47" t="s">
        <v>2</v>
      </c>
      <c r="D41" s="47">
        <v>6</v>
      </c>
      <c r="E41" s="48">
        <v>43533.477083333331</v>
      </c>
      <c r="F41" s="48">
        <v>43533.579861111109</v>
      </c>
      <c r="G41" s="49">
        <v>2.4666666666744277</v>
      </c>
      <c r="H41" s="289" t="s">
        <v>104</v>
      </c>
      <c r="I41" s="47">
        <v>0</v>
      </c>
      <c r="J41" s="50" t="s">
        <v>90</v>
      </c>
      <c r="K41" s="63" t="s">
        <v>92</v>
      </c>
    </row>
    <row r="42" spans="1:11" x14ac:dyDescent="0.25">
      <c r="A42" s="374"/>
      <c r="B42" s="377"/>
      <c r="C42" s="100" t="s">
        <v>2</v>
      </c>
      <c r="D42" s="100">
        <v>10</v>
      </c>
      <c r="E42" s="101">
        <v>43533.481944444444</v>
      </c>
      <c r="F42" s="101">
        <v>43533.576388888891</v>
      </c>
      <c r="G42" s="102">
        <v>2.2666666667209938</v>
      </c>
      <c r="H42" s="290" t="s">
        <v>104</v>
      </c>
      <c r="I42" s="100">
        <v>0</v>
      </c>
      <c r="J42" s="103" t="s">
        <v>90</v>
      </c>
      <c r="K42" s="270" t="s">
        <v>92</v>
      </c>
    </row>
    <row r="43" spans="1:11" x14ac:dyDescent="0.25">
      <c r="A43" s="374"/>
      <c r="B43" s="377"/>
      <c r="C43" s="100" t="s">
        <v>2</v>
      </c>
      <c r="D43" s="100">
        <v>6</v>
      </c>
      <c r="E43" s="101">
        <v>43533.57708333333</v>
      </c>
      <c r="F43" s="101">
        <v>43533.885416666664</v>
      </c>
      <c r="G43" s="102">
        <v>7.4000000000232831</v>
      </c>
      <c r="H43" s="290" t="s">
        <v>132</v>
      </c>
      <c r="I43" s="100">
        <v>1</v>
      </c>
      <c r="J43" s="103" t="s">
        <v>96</v>
      </c>
      <c r="K43" s="270" t="s">
        <v>108</v>
      </c>
    </row>
    <row r="44" spans="1:11" x14ac:dyDescent="0.25">
      <c r="A44" s="374"/>
      <c r="B44" s="377"/>
      <c r="C44" s="100" t="s">
        <v>2</v>
      </c>
      <c r="D44" s="100">
        <v>6</v>
      </c>
      <c r="E44" s="101">
        <v>43533.699305555558</v>
      </c>
      <c r="F44" s="101">
        <v>43533.768750000003</v>
      </c>
      <c r="G44" s="102">
        <v>1.6666666666860692</v>
      </c>
      <c r="H44" s="290" t="s">
        <v>104</v>
      </c>
      <c r="I44" s="100">
        <v>0</v>
      </c>
      <c r="J44" s="103" t="s">
        <v>90</v>
      </c>
      <c r="K44" s="270" t="s">
        <v>92</v>
      </c>
    </row>
    <row r="45" spans="1:11" x14ac:dyDescent="0.25">
      <c r="A45" s="374"/>
      <c r="B45" s="377"/>
      <c r="C45" s="100" t="s">
        <v>2</v>
      </c>
      <c r="D45" s="100">
        <v>6</v>
      </c>
      <c r="E45" s="101">
        <v>43533.777777777781</v>
      </c>
      <c r="F45" s="101">
        <v>43533.892361111109</v>
      </c>
      <c r="G45" s="102">
        <v>2.7499999998835847</v>
      </c>
      <c r="H45" s="290" t="s">
        <v>126</v>
      </c>
      <c r="I45" s="100">
        <v>0</v>
      </c>
      <c r="J45" s="103" t="s">
        <v>90</v>
      </c>
      <c r="K45" s="270" t="s">
        <v>92</v>
      </c>
    </row>
    <row r="46" spans="1:11" x14ac:dyDescent="0.25">
      <c r="A46" s="374"/>
      <c r="B46" s="377"/>
      <c r="C46" s="100" t="s">
        <v>36</v>
      </c>
      <c r="D46" s="100">
        <v>0.4</v>
      </c>
      <c r="E46" s="101">
        <v>43535.384722222225</v>
      </c>
      <c r="F46" s="101">
        <v>43535.388194444444</v>
      </c>
      <c r="G46" s="102">
        <v>8.3333333255723119E-2</v>
      </c>
      <c r="H46" s="290" t="s">
        <v>113</v>
      </c>
      <c r="I46" s="100">
        <v>1</v>
      </c>
      <c r="J46" s="103" t="s">
        <v>97</v>
      </c>
      <c r="K46" s="270" t="s">
        <v>109</v>
      </c>
    </row>
    <row r="47" spans="1:11" x14ac:dyDescent="0.25">
      <c r="A47" s="374"/>
      <c r="B47" s="377"/>
      <c r="C47" s="100" t="s">
        <v>36</v>
      </c>
      <c r="D47" s="100">
        <v>0.4</v>
      </c>
      <c r="E47" s="101">
        <v>43535.864583333336</v>
      </c>
      <c r="F47" s="101">
        <v>43535.885416666664</v>
      </c>
      <c r="G47" s="102">
        <v>0.49999999988358468</v>
      </c>
      <c r="H47" s="290" t="s">
        <v>126</v>
      </c>
      <c r="I47" s="100">
        <v>0</v>
      </c>
      <c r="J47" s="103" t="s">
        <v>90</v>
      </c>
      <c r="K47" s="270" t="s">
        <v>92</v>
      </c>
    </row>
    <row r="48" spans="1:11" x14ac:dyDescent="0.25">
      <c r="A48" s="374"/>
      <c r="B48" s="377"/>
      <c r="C48" s="100" t="s">
        <v>53</v>
      </c>
      <c r="D48" s="100">
        <v>0.4</v>
      </c>
      <c r="E48" s="101">
        <v>43544.666666666664</v>
      </c>
      <c r="F48" s="101">
        <v>43544.829861111109</v>
      </c>
      <c r="G48" s="102">
        <v>3.9166666666860692</v>
      </c>
      <c r="H48" s="290" t="s">
        <v>162</v>
      </c>
      <c r="I48" s="100">
        <v>1</v>
      </c>
      <c r="J48" s="103" t="s">
        <v>139</v>
      </c>
      <c r="K48" s="270" t="s">
        <v>163</v>
      </c>
    </row>
    <row r="49" spans="1:11" ht="15.75" thickBot="1" x14ac:dyDescent="0.3">
      <c r="A49" s="375"/>
      <c r="B49" s="394"/>
      <c r="C49" s="117" t="s">
        <v>52</v>
      </c>
      <c r="D49" s="117">
        <v>10</v>
      </c>
      <c r="E49" s="118">
        <v>43551.475694444445</v>
      </c>
      <c r="F49" s="118">
        <v>43551.52847222222</v>
      </c>
      <c r="G49" s="119">
        <v>1.2666666666045785</v>
      </c>
      <c r="H49" s="298" t="s">
        <v>91</v>
      </c>
      <c r="I49" s="117">
        <v>0</v>
      </c>
      <c r="J49" s="120" t="s">
        <v>90</v>
      </c>
      <c r="K49" s="121" t="s">
        <v>92</v>
      </c>
    </row>
    <row r="50" spans="1:11" ht="15.75" thickTop="1" x14ac:dyDescent="0.25">
      <c r="A50" s="369" t="s">
        <v>41</v>
      </c>
      <c r="B50" s="390" t="s">
        <v>22</v>
      </c>
      <c r="C50" s="64" t="s">
        <v>2</v>
      </c>
      <c r="D50" s="64">
        <v>10</v>
      </c>
      <c r="E50" s="65">
        <v>43531.8125</v>
      </c>
      <c r="F50" s="65">
        <v>43531.970138888886</v>
      </c>
      <c r="G50" s="66">
        <v>3.7833333332673647</v>
      </c>
      <c r="H50" s="303" t="s">
        <v>105</v>
      </c>
      <c r="I50" s="64">
        <v>0</v>
      </c>
      <c r="J50" s="67" t="s">
        <v>90</v>
      </c>
      <c r="K50" s="68" t="s">
        <v>92</v>
      </c>
    </row>
    <row r="51" spans="1:11" x14ac:dyDescent="0.25">
      <c r="A51" s="370"/>
      <c r="B51" s="391"/>
      <c r="C51" s="69" t="s">
        <v>2</v>
      </c>
      <c r="D51" s="69">
        <v>10</v>
      </c>
      <c r="E51" s="70">
        <v>43533.402777777781</v>
      </c>
      <c r="F51" s="70">
        <v>43533.565972222219</v>
      </c>
      <c r="G51" s="71">
        <v>3.9166666665114462</v>
      </c>
      <c r="H51" s="283" t="s">
        <v>105</v>
      </c>
      <c r="I51" s="69">
        <v>0</v>
      </c>
      <c r="J51" s="72" t="s">
        <v>90</v>
      </c>
      <c r="K51" s="73" t="s">
        <v>92</v>
      </c>
    </row>
    <row r="52" spans="1:11" x14ac:dyDescent="0.25">
      <c r="A52" s="370"/>
      <c r="B52" s="391"/>
      <c r="C52" s="69" t="s">
        <v>2</v>
      </c>
      <c r="D52" s="69">
        <v>10</v>
      </c>
      <c r="E52" s="70">
        <v>43533.430555555555</v>
      </c>
      <c r="F52" s="70">
        <v>43533.555555555555</v>
      </c>
      <c r="G52" s="71">
        <v>3</v>
      </c>
      <c r="H52" s="283" t="s">
        <v>122</v>
      </c>
      <c r="I52" s="69">
        <v>1</v>
      </c>
      <c r="J52" s="72" t="s">
        <v>119</v>
      </c>
      <c r="K52" s="73" t="s">
        <v>123</v>
      </c>
    </row>
    <row r="53" spans="1:11" x14ac:dyDescent="0.25">
      <c r="A53" s="370"/>
      <c r="B53" s="391"/>
      <c r="C53" s="69" t="s">
        <v>2</v>
      </c>
      <c r="D53" s="69">
        <v>10</v>
      </c>
      <c r="E53" s="70">
        <v>43533.756944444445</v>
      </c>
      <c r="F53" s="70">
        <v>43533.888888888891</v>
      </c>
      <c r="G53" s="71">
        <v>3.1666666666860692</v>
      </c>
      <c r="H53" s="283" t="s">
        <v>154</v>
      </c>
      <c r="I53" s="69">
        <v>1</v>
      </c>
      <c r="J53" s="72" t="s">
        <v>96</v>
      </c>
      <c r="K53" s="73" t="s">
        <v>108</v>
      </c>
    </row>
    <row r="54" spans="1:11" x14ac:dyDescent="0.25">
      <c r="A54" s="370"/>
      <c r="B54" s="391"/>
      <c r="C54" s="69" t="s">
        <v>2</v>
      </c>
      <c r="D54" s="69">
        <v>6</v>
      </c>
      <c r="E54" s="70">
        <v>43535.715277777781</v>
      </c>
      <c r="F54" s="70">
        <v>43535.76666666667</v>
      </c>
      <c r="G54" s="71">
        <v>1.2333333333372138</v>
      </c>
      <c r="H54" s="283" t="s">
        <v>154</v>
      </c>
      <c r="I54" s="69">
        <v>1</v>
      </c>
      <c r="J54" s="72" t="s">
        <v>96</v>
      </c>
      <c r="K54" s="73" t="s">
        <v>108</v>
      </c>
    </row>
    <row r="55" spans="1:11" x14ac:dyDescent="0.25">
      <c r="A55" s="370"/>
      <c r="B55" s="391"/>
      <c r="C55" s="69" t="s">
        <v>52</v>
      </c>
      <c r="D55" s="69">
        <v>6</v>
      </c>
      <c r="E55" s="70">
        <v>43542.303472222222</v>
      </c>
      <c r="F55" s="70">
        <v>43542.552083333336</v>
      </c>
      <c r="G55" s="71">
        <v>5.9666666667326353</v>
      </c>
      <c r="H55" s="283" t="s">
        <v>154</v>
      </c>
      <c r="I55" s="69">
        <v>1</v>
      </c>
      <c r="J55" s="72" t="s">
        <v>96</v>
      </c>
      <c r="K55" s="73" t="s">
        <v>108</v>
      </c>
    </row>
    <row r="56" spans="1:11" x14ac:dyDescent="0.25">
      <c r="A56" s="370"/>
      <c r="B56" s="391"/>
      <c r="C56" s="69" t="s">
        <v>36</v>
      </c>
      <c r="D56" s="69">
        <v>6</v>
      </c>
      <c r="E56" s="70">
        <v>43542.476388888892</v>
      </c>
      <c r="F56" s="70">
        <v>43542.738194444442</v>
      </c>
      <c r="G56" s="71">
        <v>6.283333333209157</v>
      </c>
      <c r="H56" s="283" t="s">
        <v>113</v>
      </c>
      <c r="I56" s="69">
        <v>1</v>
      </c>
      <c r="J56" s="72" t="s">
        <v>97</v>
      </c>
      <c r="K56" s="73" t="s">
        <v>109</v>
      </c>
    </row>
    <row r="57" spans="1:11" x14ac:dyDescent="0.25">
      <c r="A57" s="370"/>
      <c r="B57" s="391"/>
      <c r="C57" s="69" t="s">
        <v>2</v>
      </c>
      <c r="D57" s="69">
        <v>10</v>
      </c>
      <c r="E57" s="70">
        <v>43543.509722222225</v>
      </c>
      <c r="F57" s="70">
        <v>43543.996527777781</v>
      </c>
      <c r="G57" s="71">
        <v>11.683333333348855</v>
      </c>
      <c r="H57" s="283" t="s">
        <v>156</v>
      </c>
      <c r="I57" s="69">
        <v>1</v>
      </c>
      <c r="J57" s="72" t="s">
        <v>97</v>
      </c>
      <c r="K57" s="73" t="s">
        <v>109</v>
      </c>
    </row>
    <row r="58" spans="1:11" x14ac:dyDescent="0.25">
      <c r="A58" s="370"/>
      <c r="B58" s="391"/>
      <c r="C58" s="69" t="s">
        <v>2</v>
      </c>
      <c r="D58" s="69">
        <v>10</v>
      </c>
      <c r="E58" s="70">
        <v>43543.509722222225</v>
      </c>
      <c r="F58" s="70">
        <v>43543.996527777781</v>
      </c>
      <c r="G58" s="71">
        <v>11.683333333348855</v>
      </c>
      <c r="H58" s="283" t="s">
        <v>156</v>
      </c>
      <c r="I58" s="69">
        <v>1</v>
      </c>
      <c r="J58" s="72" t="s">
        <v>157</v>
      </c>
      <c r="K58" s="73" t="s">
        <v>158</v>
      </c>
    </row>
    <row r="59" spans="1:11" ht="15.75" thickBot="1" x14ac:dyDescent="0.3">
      <c r="A59" s="370"/>
      <c r="B59" s="392"/>
      <c r="C59" s="84" t="s">
        <v>2</v>
      </c>
      <c r="D59" s="84">
        <v>10</v>
      </c>
      <c r="E59" s="116">
        <v>43543.509722222225</v>
      </c>
      <c r="F59" s="116">
        <v>43543.798611111109</v>
      </c>
      <c r="G59" s="85">
        <v>6.9333333332324401</v>
      </c>
      <c r="H59" s="284" t="s">
        <v>132</v>
      </c>
      <c r="I59" s="84">
        <v>1</v>
      </c>
      <c r="J59" s="86" t="s">
        <v>96</v>
      </c>
      <c r="K59" s="87" t="s">
        <v>108</v>
      </c>
    </row>
    <row r="60" spans="1:11" ht="15.75" thickBot="1" x14ac:dyDescent="0.3">
      <c r="A60" s="370"/>
      <c r="B60" s="338" t="s">
        <v>70</v>
      </c>
      <c r="C60" s="262"/>
      <c r="D60" s="262"/>
      <c r="E60" s="263"/>
      <c r="F60" s="263"/>
      <c r="G60" s="264"/>
      <c r="H60" s="307"/>
      <c r="I60" s="262"/>
      <c r="J60" s="265"/>
      <c r="K60" s="266"/>
    </row>
    <row r="61" spans="1:11" ht="15.75" thickBot="1" x14ac:dyDescent="0.3">
      <c r="A61" s="370"/>
      <c r="B61" s="338" t="s">
        <v>71</v>
      </c>
      <c r="C61" s="262" t="s">
        <v>2</v>
      </c>
      <c r="D61" s="262">
        <v>10</v>
      </c>
      <c r="E61" s="263">
        <v>43545.270833333336</v>
      </c>
      <c r="F61" s="263">
        <v>43545.585416666669</v>
      </c>
      <c r="G61" s="264">
        <v>7.5499999999883585</v>
      </c>
      <c r="H61" s="307" t="s">
        <v>160</v>
      </c>
      <c r="I61" s="262">
        <v>1</v>
      </c>
      <c r="J61" s="265" t="s">
        <v>157</v>
      </c>
      <c r="K61" s="266" t="s">
        <v>159</v>
      </c>
    </row>
    <row r="62" spans="1:11" ht="15.75" thickBot="1" x14ac:dyDescent="0.3">
      <c r="A62" s="371"/>
      <c r="B62" s="349" t="s">
        <v>72</v>
      </c>
      <c r="C62" s="245" t="s">
        <v>53</v>
      </c>
      <c r="D62" s="245">
        <v>10</v>
      </c>
      <c r="E62" s="246">
        <v>43526.836805555555</v>
      </c>
      <c r="F62" s="246">
        <v>43526.947916666664</v>
      </c>
      <c r="G62" s="247">
        <v>2.6666666666278616</v>
      </c>
      <c r="H62" s="304" t="s">
        <v>155</v>
      </c>
      <c r="I62" s="245">
        <v>1</v>
      </c>
      <c r="J62" s="248" t="s">
        <v>90</v>
      </c>
      <c r="K62" s="249" t="s">
        <v>140</v>
      </c>
    </row>
    <row r="63" spans="1:11" ht="15.75" thickTop="1" x14ac:dyDescent="0.25">
      <c r="A63" s="403" t="s">
        <v>44</v>
      </c>
      <c r="B63" s="376" t="s">
        <v>26</v>
      </c>
      <c r="C63" s="59" t="s">
        <v>2</v>
      </c>
      <c r="D63" s="55">
        <v>0.4</v>
      </c>
      <c r="E63" s="56">
        <v>43526.77847222222</v>
      </c>
      <c r="F63" s="56">
        <v>43526.974999999999</v>
      </c>
      <c r="G63" s="57">
        <v>4.7166666666744277</v>
      </c>
      <c r="H63" s="308" t="s">
        <v>91</v>
      </c>
      <c r="I63" s="55">
        <v>0</v>
      </c>
      <c r="J63" s="58" t="s">
        <v>90</v>
      </c>
      <c r="K63" s="62" t="s">
        <v>92</v>
      </c>
    </row>
    <row r="64" spans="1:11" x14ac:dyDescent="0.25">
      <c r="A64" s="404"/>
      <c r="B64" s="377"/>
      <c r="C64" s="100" t="s">
        <v>36</v>
      </c>
      <c r="D64" s="161">
        <v>10</v>
      </c>
      <c r="E64" s="251">
        <v>43526.977083333331</v>
      </c>
      <c r="F64" s="251">
        <v>43527.024305555555</v>
      </c>
      <c r="G64" s="252">
        <v>1.1333333333604969</v>
      </c>
      <c r="H64" s="287" t="s">
        <v>104</v>
      </c>
      <c r="I64" s="161">
        <v>0</v>
      </c>
      <c r="J64" s="269" t="s">
        <v>90</v>
      </c>
      <c r="K64" s="270" t="s">
        <v>92</v>
      </c>
    </row>
    <row r="65" spans="1:11" x14ac:dyDescent="0.25">
      <c r="A65" s="404"/>
      <c r="B65" s="377"/>
      <c r="C65" s="100" t="s">
        <v>2</v>
      </c>
      <c r="D65" s="161">
        <v>0.4</v>
      </c>
      <c r="E65" s="251">
        <v>43527.881944444445</v>
      </c>
      <c r="F65" s="251">
        <v>43527.93472222222</v>
      </c>
      <c r="G65" s="252">
        <v>1.2666666666045785</v>
      </c>
      <c r="H65" s="287" t="s">
        <v>91</v>
      </c>
      <c r="I65" s="161">
        <v>0</v>
      </c>
      <c r="J65" s="269" t="s">
        <v>90</v>
      </c>
      <c r="K65" s="270" t="s">
        <v>92</v>
      </c>
    </row>
    <row r="66" spans="1:11" x14ac:dyDescent="0.25">
      <c r="A66" s="404"/>
      <c r="B66" s="377"/>
      <c r="C66" s="100" t="s">
        <v>36</v>
      </c>
      <c r="D66" s="161">
        <v>6</v>
      </c>
      <c r="E66" s="251">
        <v>43529.5625</v>
      </c>
      <c r="F66" s="251">
        <v>43529.595833333333</v>
      </c>
      <c r="G66" s="252">
        <v>0.79999999998835847</v>
      </c>
      <c r="H66" s="287" t="s">
        <v>148</v>
      </c>
      <c r="I66" s="161">
        <v>1</v>
      </c>
      <c r="J66" s="269" t="s">
        <v>128</v>
      </c>
      <c r="K66" s="270" t="s">
        <v>129</v>
      </c>
    </row>
    <row r="67" spans="1:11" x14ac:dyDescent="0.25">
      <c r="A67" s="404"/>
      <c r="B67" s="377"/>
      <c r="C67" s="100" t="s">
        <v>2</v>
      </c>
      <c r="D67" s="161">
        <v>0.4</v>
      </c>
      <c r="E67" s="251">
        <v>43529.694444444445</v>
      </c>
      <c r="F67" s="251">
        <v>43529.770833333336</v>
      </c>
      <c r="G67" s="252">
        <v>1.8333333333721384</v>
      </c>
      <c r="H67" s="287" t="s">
        <v>149</v>
      </c>
      <c r="I67" s="161">
        <v>1</v>
      </c>
      <c r="J67" s="269" t="s">
        <v>90</v>
      </c>
      <c r="K67" s="270" t="s">
        <v>92</v>
      </c>
    </row>
    <row r="68" spans="1:11" x14ac:dyDescent="0.25">
      <c r="A68" s="404"/>
      <c r="B68" s="377"/>
      <c r="C68" s="100" t="s">
        <v>2</v>
      </c>
      <c r="D68" s="161">
        <v>10</v>
      </c>
      <c r="E68" s="251">
        <v>43533.25</v>
      </c>
      <c r="F68" s="251">
        <v>43533.349305555559</v>
      </c>
      <c r="G68" s="252">
        <v>2.3833333334187046</v>
      </c>
      <c r="H68" s="287" t="s">
        <v>147</v>
      </c>
      <c r="I68" s="161">
        <v>1</v>
      </c>
      <c r="J68" s="269" t="s">
        <v>90</v>
      </c>
      <c r="K68" s="270" t="s">
        <v>108</v>
      </c>
    </row>
    <row r="69" spans="1:11" x14ac:dyDescent="0.25">
      <c r="A69" s="404"/>
      <c r="B69" s="377"/>
      <c r="C69" s="100" t="s">
        <v>36</v>
      </c>
      <c r="D69" s="161">
        <v>6</v>
      </c>
      <c r="E69" s="251">
        <v>43533.427083333336</v>
      </c>
      <c r="F69" s="251">
        <v>43533.51666666667</v>
      </c>
      <c r="G69" s="252">
        <v>2.1500000000232831</v>
      </c>
      <c r="H69" s="287" t="s">
        <v>149</v>
      </c>
      <c r="I69" s="161">
        <v>1</v>
      </c>
      <c r="J69" s="269" t="s">
        <v>90</v>
      </c>
      <c r="K69" s="270" t="s">
        <v>92</v>
      </c>
    </row>
    <row r="70" spans="1:11" x14ac:dyDescent="0.25">
      <c r="A70" s="404"/>
      <c r="B70" s="377"/>
      <c r="C70" s="100" t="s">
        <v>2</v>
      </c>
      <c r="D70" s="161">
        <v>10</v>
      </c>
      <c r="E70" s="251">
        <v>43533.569444444445</v>
      </c>
      <c r="F70" s="251">
        <v>43533.748611111114</v>
      </c>
      <c r="G70" s="252">
        <v>4.3000000000465661</v>
      </c>
      <c r="H70" s="287" t="s">
        <v>105</v>
      </c>
      <c r="I70" s="161">
        <v>0</v>
      </c>
      <c r="J70" s="269" t="s">
        <v>90</v>
      </c>
      <c r="K70" s="270" t="s">
        <v>92</v>
      </c>
    </row>
    <row r="71" spans="1:11" x14ac:dyDescent="0.25">
      <c r="A71" s="404"/>
      <c r="B71" s="377"/>
      <c r="C71" s="100" t="s">
        <v>2</v>
      </c>
      <c r="D71" s="161">
        <v>10</v>
      </c>
      <c r="E71" s="251">
        <v>43533.677083333336</v>
      </c>
      <c r="F71" s="251">
        <v>43533.684027777781</v>
      </c>
      <c r="G71" s="252">
        <v>0.16666666668606922</v>
      </c>
      <c r="H71" s="287" t="s">
        <v>149</v>
      </c>
      <c r="I71" s="161">
        <v>1</v>
      </c>
      <c r="J71" s="269" t="s">
        <v>90</v>
      </c>
      <c r="K71" s="270" t="s">
        <v>92</v>
      </c>
    </row>
    <row r="72" spans="1:11" x14ac:dyDescent="0.25">
      <c r="A72" s="404"/>
      <c r="B72" s="377"/>
      <c r="C72" s="100" t="s">
        <v>52</v>
      </c>
      <c r="D72" s="161">
        <v>110</v>
      </c>
      <c r="E72" s="251">
        <v>43535.368055555555</v>
      </c>
      <c r="F72" s="251">
        <v>43535.378472222219</v>
      </c>
      <c r="G72" s="252">
        <v>0.24999999994179234</v>
      </c>
      <c r="H72" s="287" t="s">
        <v>151</v>
      </c>
      <c r="I72" s="161">
        <v>1</v>
      </c>
      <c r="J72" s="269" t="s">
        <v>90</v>
      </c>
      <c r="K72" s="270" t="s">
        <v>92</v>
      </c>
    </row>
    <row r="73" spans="1:11" x14ac:dyDescent="0.25">
      <c r="A73" s="404"/>
      <c r="B73" s="377"/>
      <c r="C73" s="100" t="s">
        <v>2</v>
      </c>
      <c r="D73" s="161">
        <v>10</v>
      </c>
      <c r="E73" s="251">
        <v>43543.336805555555</v>
      </c>
      <c r="F73" s="251">
        <v>43543.798611111109</v>
      </c>
      <c r="G73" s="252">
        <v>11.083333333313931</v>
      </c>
      <c r="H73" s="287" t="s">
        <v>150</v>
      </c>
      <c r="I73" s="161">
        <v>1</v>
      </c>
      <c r="J73" s="269" t="s">
        <v>90</v>
      </c>
      <c r="K73" s="270" t="s">
        <v>108</v>
      </c>
    </row>
    <row r="74" spans="1:11" x14ac:dyDescent="0.25">
      <c r="A74" s="404"/>
      <c r="B74" s="377"/>
      <c r="C74" s="100" t="s">
        <v>36</v>
      </c>
      <c r="D74" s="161">
        <v>6</v>
      </c>
      <c r="E74" s="251">
        <v>43545.581250000003</v>
      </c>
      <c r="F74" s="251">
        <v>43545.581250000003</v>
      </c>
      <c r="G74" s="252">
        <v>0</v>
      </c>
      <c r="H74" s="287" t="s">
        <v>130</v>
      </c>
      <c r="I74" s="161">
        <v>0</v>
      </c>
      <c r="J74" s="269" t="s">
        <v>90</v>
      </c>
      <c r="K74" s="270" t="s">
        <v>92</v>
      </c>
    </row>
    <row r="75" spans="1:11" x14ac:dyDescent="0.25">
      <c r="A75" s="404"/>
      <c r="B75" s="377"/>
      <c r="C75" s="100" t="s">
        <v>36</v>
      </c>
      <c r="D75" s="161">
        <v>6</v>
      </c>
      <c r="E75" s="251">
        <v>43545.663194444445</v>
      </c>
      <c r="F75" s="251">
        <v>43545.938194444447</v>
      </c>
      <c r="G75" s="252">
        <v>6.6000000000349246</v>
      </c>
      <c r="H75" s="287" t="s">
        <v>91</v>
      </c>
      <c r="I75" s="161">
        <v>0</v>
      </c>
      <c r="J75" s="269" t="s">
        <v>90</v>
      </c>
      <c r="K75" s="270" t="s">
        <v>92</v>
      </c>
    </row>
    <row r="76" spans="1:11" ht="15.75" thickBot="1" x14ac:dyDescent="0.3">
      <c r="A76" s="404"/>
      <c r="B76" s="378"/>
      <c r="C76" s="51" t="s">
        <v>53</v>
      </c>
      <c r="D76" s="253">
        <v>0.4</v>
      </c>
      <c r="E76" s="254">
        <v>43549.770833333336</v>
      </c>
      <c r="F76" s="254">
        <v>43549.788194444445</v>
      </c>
      <c r="G76" s="255">
        <v>0.41666666662786156</v>
      </c>
      <c r="H76" s="292" t="s">
        <v>106</v>
      </c>
      <c r="I76" s="253">
        <v>1</v>
      </c>
      <c r="J76" s="256" t="s">
        <v>90</v>
      </c>
      <c r="K76" s="257" t="s">
        <v>92</v>
      </c>
    </row>
    <row r="77" spans="1:11" x14ac:dyDescent="0.25">
      <c r="A77" s="404"/>
      <c r="B77" s="393" t="s">
        <v>51</v>
      </c>
      <c r="C77" s="47" t="s">
        <v>2</v>
      </c>
      <c r="D77" s="46">
        <v>0.4</v>
      </c>
      <c r="E77" s="45">
        <v>43531.888888888891</v>
      </c>
      <c r="F77" s="45">
        <v>43531.991666666669</v>
      </c>
      <c r="G77" s="44">
        <v>2.4666666666744277</v>
      </c>
      <c r="H77" s="286" t="s">
        <v>149</v>
      </c>
      <c r="I77" s="46">
        <v>1</v>
      </c>
      <c r="J77" s="43" t="s">
        <v>90</v>
      </c>
      <c r="K77" s="63" t="s">
        <v>92</v>
      </c>
    </row>
    <row r="78" spans="1:11" x14ac:dyDescent="0.25">
      <c r="A78" s="404"/>
      <c r="B78" s="377"/>
      <c r="C78" s="100" t="s">
        <v>36</v>
      </c>
      <c r="D78" s="161">
        <v>0.4</v>
      </c>
      <c r="E78" s="251">
        <v>43532.089583333334</v>
      </c>
      <c r="F78" s="251">
        <v>43532.138888888891</v>
      </c>
      <c r="G78" s="252">
        <v>1.1833333333488554</v>
      </c>
      <c r="H78" s="287" t="s">
        <v>91</v>
      </c>
      <c r="I78" s="161">
        <v>0</v>
      </c>
      <c r="J78" s="269" t="s">
        <v>90</v>
      </c>
      <c r="K78" s="270" t="s">
        <v>92</v>
      </c>
    </row>
    <row r="79" spans="1:11" x14ac:dyDescent="0.25">
      <c r="A79" s="404"/>
      <c r="B79" s="377"/>
      <c r="C79" s="100" t="s">
        <v>2</v>
      </c>
      <c r="D79" s="161">
        <v>0.4</v>
      </c>
      <c r="E79" s="251">
        <v>43532.493055555555</v>
      </c>
      <c r="F79" s="251">
        <v>43532.53125</v>
      </c>
      <c r="G79" s="252">
        <v>0.91666666668606922</v>
      </c>
      <c r="H79" s="287" t="s">
        <v>124</v>
      </c>
      <c r="I79" s="161">
        <v>0</v>
      </c>
      <c r="J79" s="269" t="s">
        <v>96</v>
      </c>
      <c r="K79" s="270" t="s">
        <v>108</v>
      </c>
    </row>
    <row r="80" spans="1:11" x14ac:dyDescent="0.25">
      <c r="A80" s="404"/>
      <c r="B80" s="377"/>
      <c r="C80" s="100" t="s">
        <v>2</v>
      </c>
      <c r="D80" s="161">
        <v>0.4</v>
      </c>
      <c r="E80" s="251">
        <v>43533.521527777775</v>
      </c>
      <c r="F80" s="251">
        <v>43533.5625</v>
      </c>
      <c r="G80" s="252">
        <v>0.9833333333954215</v>
      </c>
      <c r="H80" s="287" t="s">
        <v>149</v>
      </c>
      <c r="I80" s="161">
        <v>1</v>
      </c>
      <c r="J80" s="269" t="s">
        <v>90</v>
      </c>
      <c r="K80" s="270" t="s">
        <v>92</v>
      </c>
    </row>
    <row r="81" spans="1:11" x14ac:dyDescent="0.25">
      <c r="A81" s="404"/>
      <c r="B81" s="377"/>
      <c r="C81" s="100" t="s">
        <v>2</v>
      </c>
      <c r="D81" s="161">
        <v>0.4</v>
      </c>
      <c r="E81" s="251">
        <v>43533.635416666664</v>
      </c>
      <c r="F81" s="251">
        <v>43533.65</v>
      </c>
      <c r="G81" s="252">
        <v>0.35000000009313226</v>
      </c>
      <c r="H81" s="287" t="s">
        <v>149</v>
      </c>
      <c r="I81" s="161">
        <v>1</v>
      </c>
      <c r="J81" s="269" t="s">
        <v>90</v>
      </c>
      <c r="K81" s="270" t="s">
        <v>92</v>
      </c>
    </row>
    <row r="82" spans="1:11" x14ac:dyDescent="0.25">
      <c r="A82" s="404"/>
      <c r="B82" s="377"/>
      <c r="C82" s="100" t="s">
        <v>2</v>
      </c>
      <c r="D82" s="161">
        <v>0.4</v>
      </c>
      <c r="E82" s="251">
        <v>43544.75</v>
      </c>
      <c r="F82" s="251">
        <v>43544.819444444445</v>
      </c>
      <c r="G82" s="252">
        <v>1.6666666666860692</v>
      </c>
      <c r="H82" s="287" t="s">
        <v>149</v>
      </c>
      <c r="I82" s="161">
        <v>1</v>
      </c>
      <c r="J82" s="269" t="s">
        <v>90</v>
      </c>
      <c r="K82" s="270" t="s">
        <v>92</v>
      </c>
    </row>
    <row r="83" spans="1:11" x14ac:dyDescent="0.25">
      <c r="A83" s="404"/>
      <c r="B83" s="377"/>
      <c r="C83" s="100" t="s">
        <v>2</v>
      </c>
      <c r="D83" s="161">
        <v>10</v>
      </c>
      <c r="E83" s="251">
        <v>43547.420138888891</v>
      </c>
      <c r="F83" s="251">
        <v>43547.527777777781</v>
      </c>
      <c r="G83" s="252">
        <v>2.5833333333721384</v>
      </c>
      <c r="H83" s="287" t="s">
        <v>147</v>
      </c>
      <c r="I83" s="161">
        <v>1</v>
      </c>
      <c r="J83" s="269" t="s">
        <v>90</v>
      </c>
      <c r="K83" s="270" t="s">
        <v>108</v>
      </c>
    </row>
    <row r="84" spans="1:11" ht="15.75" thickBot="1" x14ac:dyDescent="0.3">
      <c r="A84" s="404"/>
      <c r="B84" s="378"/>
      <c r="C84" s="51" t="s">
        <v>2</v>
      </c>
      <c r="D84" s="253">
        <v>10</v>
      </c>
      <c r="E84" s="254">
        <v>43547.524305555555</v>
      </c>
      <c r="F84" s="254">
        <v>43547.573611111111</v>
      </c>
      <c r="G84" s="255">
        <v>1.1833333333488554</v>
      </c>
      <c r="H84" s="292" t="s">
        <v>104</v>
      </c>
      <c r="I84" s="51">
        <v>0</v>
      </c>
      <c r="J84" s="256" t="s">
        <v>90</v>
      </c>
      <c r="K84" s="257" t="s">
        <v>92</v>
      </c>
    </row>
    <row r="85" spans="1:11" x14ac:dyDescent="0.25">
      <c r="A85" s="404"/>
      <c r="B85" s="387" t="s">
        <v>27</v>
      </c>
      <c r="C85" s="46" t="s">
        <v>36</v>
      </c>
      <c r="D85" s="46">
        <v>10</v>
      </c>
      <c r="E85" s="45">
        <v>43529.530555555553</v>
      </c>
      <c r="F85" s="45">
        <v>43529.745138888888</v>
      </c>
      <c r="G85" s="44">
        <v>5.1500000000232831</v>
      </c>
      <c r="H85" s="286" t="s">
        <v>102</v>
      </c>
      <c r="I85" s="46">
        <v>1</v>
      </c>
      <c r="J85" s="43" t="s">
        <v>97</v>
      </c>
      <c r="K85" s="63" t="s">
        <v>109</v>
      </c>
    </row>
    <row r="86" spans="1:11" x14ac:dyDescent="0.25">
      <c r="A86" s="404"/>
      <c r="B86" s="388"/>
      <c r="C86" s="161" t="s">
        <v>52</v>
      </c>
      <c r="D86" s="161">
        <v>10</v>
      </c>
      <c r="E86" s="251">
        <v>43537.637499999997</v>
      </c>
      <c r="F86" s="251">
        <v>43537.684027777781</v>
      </c>
      <c r="G86" s="252">
        <v>1.1166666668141261</v>
      </c>
      <c r="H86" s="287" t="s">
        <v>104</v>
      </c>
      <c r="I86" s="161">
        <v>0</v>
      </c>
      <c r="J86" s="269" t="s">
        <v>90</v>
      </c>
      <c r="K86" s="270" t="s">
        <v>92</v>
      </c>
    </row>
    <row r="87" spans="1:11" x14ac:dyDescent="0.25">
      <c r="A87" s="404"/>
      <c r="B87" s="388"/>
      <c r="C87" s="161" t="s">
        <v>2</v>
      </c>
      <c r="D87" s="161">
        <v>10</v>
      </c>
      <c r="E87" s="251">
        <v>43542.590277777781</v>
      </c>
      <c r="F87" s="251">
        <v>43542.821527777778</v>
      </c>
      <c r="G87" s="252">
        <v>5.5499999999301508</v>
      </c>
      <c r="H87" s="287" t="s">
        <v>122</v>
      </c>
      <c r="I87" s="161">
        <v>1</v>
      </c>
      <c r="J87" s="269" t="s">
        <v>119</v>
      </c>
      <c r="K87" s="270" t="s">
        <v>123</v>
      </c>
    </row>
    <row r="88" spans="1:11" x14ac:dyDescent="0.25">
      <c r="A88" s="404"/>
      <c r="B88" s="388"/>
      <c r="C88" s="161" t="s">
        <v>36</v>
      </c>
      <c r="D88" s="161">
        <v>10</v>
      </c>
      <c r="E88" s="251">
        <v>43549.697222222225</v>
      </c>
      <c r="F88" s="251">
        <v>43549.717361111114</v>
      </c>
      <c r="G88" s="252">
        <v>0.48333333333721384</v>
      </c>
      <c r="H88" s="287" t="s">
        <v>102</v>
      </c>
      <c r="I88" s="161">
        <v>1</v>
      </c>
      <c r="J88" s="269" t="s">
        <v>97</v>
      </c>
      <c r="K88" s="270" t="s">
        <v>109</v>
      </c>
    </row>
    <row r="89" spans="1:11" x14ac:dyDescent="0.25">
      <c r="A89" s="404"/>
      <c r="B89" s="388"/>
      <c r="C89" s="161" t="s">
        <v>52</v>
      </c>
      <c r="D89" s="161">
        <v>6</v>
      </c>
      <c r="E89" s="251">
        <v>43553.490972222222</v>
      </c>
      <c r="F89" s="251">
        <v>43553.503472222219</v>
      </c>
      <c r="G89" s="252">
        <v>0.29999999993015081</v>
      </c>
      <c r="H89" s="287" t="s">
        <v>104</v>
      </c>
      <c r="I89" s="161">
        <v>0</v>
      </c>
      <c r="J89" s="269" t="s">
        <v>90</v>
      </c>
      <c r="K89" s="270" t="s">
        <v>92</v>
      </c>
    </row>
    <row r="90" spans="1:11" x14ac:dyDescent="0.25">
      <c r="A90" s="404"/>
      <c r="B90" s="388"/>
      <c r="C90" s="161" t="s">
        <v>2</v>
      </c>
      <c r="D90" s="161">
        <v>6</v>
      </c>
      <c r="E90" s="251">
        <v>43553.612500000003</v>
      </c>
      <c r="F90" s="251">
        <v>43554.065972222219</v>
      </c>
      <c r="G90" s="252">
        <v>10.883333333185874</v>
      </c>
      <c r="H90" s="287" t="s">
        <v>104</v>
      </c>
      <c r="I90" s="161">
        <v>0</v>
      </c>
      <c r="J90" s="269" t="s">
        <v>90</v>
      </c>
      <c r="K90" s="270" t="s">
        <v>92</v>
      </c>
    </row>
    <row r="91" spans="1:11" x14ac:dyDescent="0.25">
      <c r="A91" s="404"/>
      <c r="B91" s="388"/>
      <c r="C91" s="161" t="s">
        <v>2</v>
      </c>
      <c r="D91" s="161">
        <v>6</v>
      </c>
      <c r="E91" s="251">
        <v>43553.681944444441</v>
      </c>
      <c r="F91" s="251">
        <v>43554.127083333333</v>
      </c>
      <c r="G91" s="252">
        <v>10.683333333407063</v>
      </c>
      <c r="H91" s="287" t="s">
        <v>153</v>
      </c>
      <c r="I91" s="100">
        <v>0</v>
      </c>
      <c r="J91" s="269" t="s">
        <v>96</v>
      </c>
      <c r="K91" s="270" t="s">
        <v>108</v>
      </c>
    </row>
    <row r="92" spans="1:11" ht="15.75" thickBot="1" x14ac:dyDescent="0.3">
      <c r="A92" s="405"/>
      <c r="B92" s="389"/>
      <c r="C92" s="274" t="s">
        <v>2</v>
      </c>
      <c r="D92" s="274">
        <v>6</v>
      </c>
      <c r="E92" s="275">
        <v>43554.708333333336</v>
      </c>
      <c r="F92" s="275">
        <v>43554.762499999997</v>
      </c>
      <c r="G92" s="276">
        <v>1.2999999998719431</v>
      </c>
      <c r="H92" s="298" t="s">
        <v>152</v>
      </c>
      <c r="I92" s="274">
        <v>0</v>
      </c>
      <c r="J92" s="277" t="s">
        <v>90</v>
      </c>
      <c r="K92" s="278" t="s">
        <v>92</v>
      </c>
    </row>
    <row r="93" spans="1:11" ht="16.5" thickTop="1" thickBot="1" x14ac:dyDescent="0.3">
      <c r="A93" s="369" t="s">
        <v>42</v>
      </c>
      <c r="B93" s="339" t="s">
        <v>74</v>
      </c>
      <c r="C93" s="340" t="s">
        <v>36</v>
      </c>
      <c r="D93" s="340">
        <v>6</v>
      </c>
      <c r="E93" s="341">
        <v>43550.59375</v>
      </c>
      <c r="F93" s="341">
        <v>43550.631944444445</v>
      </c>
      <c r="G93" s="342">
        <v>0.91666666668606922</v>
      </c>
      <c r="H93" s="343" t="s">
        <v>102</v>
      </c>
      <c r="I93" s="340">
        <v>1</v>
      </c>
      <c r="J93" s="344" t="s">
        <v>97</v>
      </c>
      <c r="K93" s="345" t="s">
        <v>109</v>
      </c>
    </row>
    <row r="94" spans="1:11" ht="15.75" thickBot="1" x14ac:dyDescent="0.3">
      <c r="A94" s="370"/>
      <c r="B94" s="338" t="s">
        <v>73</v>
      </c>
      <c r="C94" s="262"/>
      <c r="D94" s="262"/>
      <c r="E94" s="263"/>
      <c r="F94" s="263"/>
      <c r="G94" s="264"/>
      <c r="H94" s="307"/>
      <c r="I94" s="262"/>
      <c r="J94" s="265"/>
      <c r="K94" s="266"/>
    </row>
    <row r="95" spans="1:11" x14ac:dyDescent="0.25">
      <c r="A95" s="370"/>
      <c r="B95" s="395" t="s">
        <v>75</v>
      </c>
      <c r="C95" s="79" t="s">
        <v>2</v>
      </c>
      <c r="D95" s="79">
        <v>10</v>
      </c>
      <c r="E95" s="80">
        <v>43527.048611111109</v>
      </c>
      <c r="F95" s="80">
        <v>43527.159722222219</v>
      </c>
      <c r="G95" s="81">
        <v>2.6666666666278616</v>
      </c>
      <c r="H95" s="282" t="s">
        <v>91</v>
      </c>
      <c r="I95" s="79">
        <v>0</v>
      </c>
      <c r="J95" s="82" t="s">
        <v>90</v>
      </c>
      <c r="K95" s="83" t="s">
        <v>92</v>
      </c>
    </row>
    <row r="96" spans="1:11" x14ac:dyDescent="0.25">
      <c r="A96" s="370"/>
      <c r="B96" s="391"/>
      <c r="C96" s="69" t="s">
        <v>2</v>
      </c>
      <c r="D96" s="69">
        <v>10</v>
      </c>
      <c r="E96" s="70">
        <v>43546.503472222219</v>
      </c>
      <c r="F96" s="70">
        <v>43546.513888888891</v>
      </c>
      <c r="G96" s="71">
        <v>0.25000000011641532</v>
      </c>
      <c r="H96" s="283" t="s">
        <v>106</v>
      </c>
      <c r="I96" s="69">
        <v>1</v>
      </c>
      <c r="J96" s="72" t="s">
        <v>90</v>
      </c>
      <c r="K96" s="73" t="s">
        <v>92</v>
      </c>
    </row>
    <row r="97" spans="1:11" x14ac:dyDescent="0.25">
      <c r="A97" s="370"/>
      <c r="B97" s="391"/>
      <c r="C97" s="69" t="s">
        <v>36</v>
      </c>
      <c r="D97" s="69">
        <v>10</v>
      </c>
      <c r="E97" s="70">
        <v>43549.503472222219</v>
      </c>
      <c r="F97" s="70">
        <v>43549.576388888891</v>
      </c>
      <c r="G97" s="71">
        <v>1.7500000001164153</v>
      </c>
      <c r="H97" s="283" t="s">
        <v>114</v>
      </c>
      <c r="I97" s="69">
        <v>0</v>
      </c>
      <c r="J97" s="72" t="s">
        <v>97</v>
      </c>
      <c r="K97" s="73" t="s">
        <v>109</v>
      </c>
    </row>
    <row r="98" spans="1:11" x14ac:dyDescent="0.25">
      <c r="A98" s="370"/>
      <c r="B98" s="391"/>
      <c r="C98" s="69" t="s">
        <v>2</v>
      </c>
      <c r="D98" s="69">
        <v>10</v>
      </c>
      <c r="E98" s="70">
        <v>43551.5</v>
      </c>
      <c r="F98" s="70">
        <v>43551.534722222219</v>
      </c>
      <c r="G98" s="71">
        <v>0.83333333325572312</v>
      </c>
      <c r="H98" s="283" t="s">
        <v>110</v>
      </c>
      <c r="I98" s="69">
        <v>1</v>
      </c>
      <c r="J98" s="72" t="s">
        <v>97</v>
      </c>
      <c r="K98" s="73" t="s">
        <v>109</v>
      </c>
    </row>
    <row r="99" spans="1:11" x14ac:dyDescent="0.25">
      <c r="A99" s="370"/>
      <c r="B99" s="391"/>
      <c r="C99" s="69" t="s">
        <v>52</v>
      </c>
      <c r="D99" s="69">
        <v>6</v>
      </c>
      <c r="E99" s="70">
        <v>43553.451388888891</v>
      </c>
      <c r="F99" s="70">
        <v>43553.480555555558</v>
      </c>
      <c r="G99" s="71">
        <v>0.70000000001164153</v>
      </c>
      <c r="H99" s="283" t="s">
        <v>146</v>
      </c>
      <c r="I99" s="69">
        <v>1</v>
      </c>
      <c r="J99" s="72" t="s">
        <v>90</v>
      </c>
      <c r="K99" s="73" t="s">
        <v>92</v>
      </c>
    </row>
    <row r="100" spans="1:11" ht="15.75" thickBot="1" x14ac:dyDescent="0.3">
      <c r="A100" s="370"/>
      <c r="B100" s="392"/>
      <c r="C100" s="84" t="s">
        <v>36</v>
      </c>
      <c r="D100" s="84">
        <v>10</v>
      </c>
      <c r="E100" s="116">
        <v>43555.361111111109</v>
      </c>
      <c r="F100" s="116">
        <v>43555.555555555555</v>
      </c>
      <c r="G100" s="85">
        <v>4.6666666666860692</v>
      </c>
      <c r="H100" s="284" t="s">
        <v>102</v>
      </c>
      <c r="I100" s="84">
        <v>1</v>
      </c>
      <c r="J100" s="86" t="s">
        <v>97</v>
      </c>
      <c r="K100" s="87" t="s">
        <v>109</v>
      </c>
    </row>
    <row r="101" spans="1:11" x14ac:dyDescent="0.25">
      <c r="A101" s="370"/>
      <c r="B101" s="395" t="s">
        <v>23</v>
      </c>
      <c r="C101" s="79" t="s">
        <v>2</v>
      </c>
      <c r="D101" s="79">
        <v>10</v>
      </c>
      <c r="E101" s="80">
        <v>43533.0625</v>
      </c>
      <c r="F101" s="80">
        <v>43533.163194444445</v>
      </c>
      <c r="G101" s="81">
        <v>2.4166666666860692</v>
      </c>
      <c r="H101" s="282" t="s">
        <v>102</v>
      </c>
      <c r="I101" s="79">
        <v>1</v>
      </c>
      <c r="J101" s="82" t="s">
        <v>97</v>
      </c>
      <c r="K101" s="83" t="s">
        <v>109</v>
      </c>
    </row>
    <row r="102" spans="1:11" x14ac:dyDescent="0.25">
      <c r="A102" s="370"/>
      <c r="B102" s="391"/>
      <c r="C102" s="69" t="s">
        <v>2</v>
      </c>
      <c r="D102" s="69">
        <v>10</v>
      </c>
      <c r="E102" s="70">
        <v>43546.520833333336</v>
      </c>
      <c r="F102" s="70">
        <v>43546.602777777778</v>
      </c>
      <c r="G102" s="71">
        <v>1.96666666661622</v>
      </c>
      <c r="H102" s="283" t="s">
        <v>147</v>
      </c>
      <c r="I102" s="69">
        <v>1</v>
      </c>
      <c r="J102" s="72" t="s">
        <v>90</v>
      </c>
      <c r="K102" s="73" t="s">
        <v>108</v>
      </c>
    </row>
    <row r="103" spans="1:11" x14ac:dyDescent="0.25">
      <c r="A103" s="370"/>
      <c r="B103" s="391"/>
      <c r="C103" s="69" t="s">
        <v>2</v>
      </c>
      <c r="D103" s="69">
        <v>10</v>
      </c>
      <c r="E103" s="70">
        <v>43546.548611111109</v>
      </c>
      <c r="F103" s="70">
        <v>43546.628472222219</v>
      </c>
      <c r="G103" s="71">
        <v>1.9166666666278616</v>
      </c>
      <c r="H103" s="283" t="s">
        <v>133</v>
      </c>
      <c r="I103" s="69">
        <v>0</v>
      </c>
      <c r="J103" s="72" t="s">
        <v>90</v>
      </c>
      <c r="K103" s="73" t="s">
        <v>92</v>
      </c>
    </row>
    <row r="104" spans="1:11" x14ac:dyDescent="0.25">
      <c r="A104" s="370"/>
      <c r="B104" s="391"/>
      <c r="C104" s="69" t="s">
        <v>36</v>
      </c>
      <c r="D104" s="69">
        <v>10</v>
      </c>
      <c r="E104" s="70">
        <v>43549.760416666664</v>
      </c>
      <c r="F104" s="70">
        <v>43549.883333333331</v>
      </c>
      <c r="G104" s="71">
        <v>2.9500000000116415</v>
      </c>
      <c r="H104" s="283" t="s">
        <v>102</v>
      </c>
      <c r="I104" s="69">
        <v>1</v>
      </c>
      <c r="J104" s="72" t="s">
        <v>97</v>
      </c>
      <c r="K104" s="73" t="s">
        <v>109</v>
      </c>
    </row>
    <row r="105" spans="1:11" x14ac:dyDescent="0.25">
      <c r="A105" s="370"/>
      <c r="B105" s="391"/>
      <c r="C105" s="69" t="s">
        <v>36</v>
      </c>
      <c r="D105" s="69">
        <v>10</v>
      </c>
      <c r="E105" s="70">
        <v>43549.946527777778</v>
      </c>
      <c r="F105" s="70">
        <v>43550.045138888891</v>
      </c>
      <c r="G105" s="71">
        <v>2.3666666666977108</v>
      </c>
      <c r="H105" s="283" t="s">
        <v>102</v>
      </c>
      <c r="I105" s="69">
        <v>1</v>
      </c>
      <c r="J105" s="72" t="s">
        <v>97</v>
      </c>
      <c r="K105" s="73" t="s">
        <v>109</v>
      </c>
    </row>
    <row r="106" spans="1:11" ht="15.75" thickBot="1" x14ac:dyDescent="0.3">
      <c r="A106" s="371"/>
      <c r="B106" s="396"/>
      <c r="C106" s="74" t="s">
        <v>2</v>
      </c>
      <c r="D106" s="74">
        <v>10</v>
      </c>
      <c r="E106" s="75">
        <v>43552.326388888891</v>
      </c>
      <c r="F106" s="75">
        <v>43552.397222222222</v>
      </c>
      <c r="G106" s="76">
        <v>1.6999999999534339</v>
      </c>
      <c r="H106" s="285" t="s">
        <v>104</v>
      </c>
      <c r="I106" s="74">
        <v>0</v>
      </c>
      <c r="J106" s="77" t="s">
        <v>90</v>
      </c>
      <c r="K106" s="78" t="s">
        <v>92</v>
      </c>
    </row>
    <row r="107" spans="1:11" ht="15.75" thickTop="1" x14ac:dyDescent="0.25"/>
    <row r="110" spans="1:11" ht="105" customHeight="1" x14ac:dyDescent="0.25">
      <c r="A110" s="372" t="s">
        <v>39</v>
      </c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</row>
  </sheetData>
  <autoFilter ref="A2:K106"/>
  <sortState ref="C35:K94">
    <sortCondition ref="E35:E94"/>
  </sortState>
  <mergeCells count="22">
    <mergeCell ref="B1:J1"/>
    <mergeCell ref="B14:B22"/>
    <mergeCell ref="B63:B76"/>
    <mergeCell ref="B77:B84"/>
    <mergeCell ref="B24:B31"/>
    <mergeCell ref="B9:B10"/>
    <mergeCell ref="B32:B33"/>
    <mergeCell ref="B95:B100"/>
    <mergeCell ref="B101:B106"/>
    <mergeCell ref="A3:A13"/>
    <mergeCell ref="B12:B13"/>
    <mergeCell ref="A110:K110"/>
    <mergeCell ref="A14:A33"/>
    <mergeCell ref="A63:A92"/>
    <mergeCell ref="B85:B92"/>
    <mergeCell ref="A34:A49"/>
    <mergeCell ref="B34:B40"/>
    <mergeCell ref="B41:B49"/>
    <mergeCell ref="A50:A62"/>
    <mergeCell ref="A93:A106"/>
    <mergeCell ref="B50:B59"/>
    <mergeCell ref="B3:B5"/>
  </mergeCells>
  <dataValidations count="5">
    <dataValidation type="list" allowBlank="1" showInputMessage="1" showErrorMessage="1" sqref="H7 H11 H22:H26 H31:H32 H15 H20">
      <mc:AlternateContent xmlns:x12ac="http://schemas.microsoft.com/office/spreadsheetml/2011/1/ac" xmlns:mc="http://schemas.openxmlformats.org/markup-compatibility/2006">
        <mc:Choice Requires="x12ac">
          <x12ac:list>Ошибки персонала," Несоблюдение сроков, объемов ТО", Возд. пост. лиц, Возд. стих. явлений," Дефекты монтажа, изделия, проекта", Невыявленные причины, Неклассифицированные причины, Повреждение в сетях Ленэнерго, Повреждение в сетях потребителя</x12ac:list>
        </mc:Choice>
        <mc:Fallback>
          <formula1>"Ошибки персонала, Несоблюдение сроков, объемов ТО, Возд. пост. лиц, Возд. стих. явлений, Дефекты монтажа, изделия, проекта, Невыявленные причины, Неклассифицированные причины, Повреждение в сетях Ленэнерго, Повреждение в сетях потребителя"</formula1>
        </mc:Fallback>
      </mc:AlternateContent>
    </dataValidation>
    <dataValidation type="list" allowBlank="1" showInputMessage="1" showErrorMessage="1" sqref="J3:J106">
      <formula1>"Кабель,Провод,Опора,Изолятор, Контакт.соед,Трансформатор,ТТ,ТН,Выключатель,Разъединитель,ВН,Рубильник,АВ,Разрядник,ОПН,-,"</formula1>
    </dataValidation>
    <dataValidation type="list" allowBlank="1" showInputMessage="1" showErrorMessage="1" sqref="I3:I106">
      <formula1>"1, 0,"</formula1>
    </dataValidation>
    <dataValidation type="list" allowBlank="1" showInputMessage="1" showErrorMessage="1" sqref="D3:D106">
      <mc:AlternateContent xmlns:x12ac="http://schemas.microsoft.com/office/spreadsheetml/2011/1/ac" xmlns:mc="http://schemas.openxmlformats.org/markup-compatibility/2006">
        <mc:Choice Requires="x12ac">
          <x12ac:list>"0,4", 6, 10, 35, 110</x12ac:list>
        </mc:Choice>
        <mc:Fallback>
          <formula1>"0,4, 6, 10, 35, 110"</formula1>
        </mc:Fallback>
      </mc:AlternateContent>
    </dataValidation>
    <dataValidation type="list" allowBlank="1" showInputMessage="1" showErrorMessage="1" sqref="C3:C106">
      <formula1>"ПС, ТП, РП, ВЛ, КЛ"</formula1>
    </dataValidation>
  </dataValidations>
  <pageMargins left="0.7" right="0.7" top="0.75" bottom="0.75" header="0.3" footer="0.3"/>
  <pageSetup paperSize="9" scale="69" fitToHeight="0" orientation="landscape" r:id="rId1"/>
  <rowBreaks count="2" manualBreakCount="2">
    <brk id="33" max="10" man="1"/>
    <brk id="76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38"/>
  <sheetViews>
    <sheetView tabSelected="1" workbookViewId="0">
      <selection activeCell="T9" sqref="T9"/>
    </sheetView>
  </sheetViews>
  <sheetFormatPr defaultRowHeight="15" x14ac:dyDescent="0.25"/>
  <cols>
    <col min="2" max="2" width="21.5703125" customWidth="1"/>
    <col min="3" max="3" width="12.28515625" customWidth="1"/>
    <col min="4" max="9" width="9.140625" customWidth="1"/>
    <col min="14" max="14" width="11.85546875" customWidth="1"/>
    <col min="213" max="213" width="21.5703125" customWidth="1"/>
    <col min="214" max="214" width="11" customWidth="1"/>
    <col min="215" max="215" width="10" customWidth="1"/>
    <col min="216" max="250" width="9.140625" customWidth="1"/>
    <col min="251" max="251" width="9.7109375" customWidth="1"/>
    <col min="252" max="265" width="9.140625" customWidth="1"/>
    <col min="469" max="469" width="21.5703125" customWidth="1"/>
    <col min="470" max="470" width="11" customWidth="1"/>
    <col min="471" max="471" width="10" customWidth="1"/>
    <col min="472" max="506" width="9.140625" customWidth="1"/>
    <col min="507" max="507" width="9.7109375" customWidth="1"/>
    <col min="508" max="521" width="9.140625" customWidth="1"/>
    <col min="725" max="725" width="21.5703125" customWidth="1"/>
    <col min="726" max="726" width="11" customWidth="1"/>
    <col min="727" max="727" width="10" customWidth="1"/>
    <col min="728" max="762" width="9.140625" customWidth="1"/>
    <col min="763" max="763" width="9.7109375" customWidth="1"/>
    <col min="764" max="777" width="9.140625" customWidth="1"/>
    <col min="981" max="981" width="21.5703125" customWidth="1"/>
    <col min="982" max="982" width="11" customWidth="1"/>
    <col min="983" max="983" width="10" customWidth="1"/>
    <col min="984" max="1018" width="9.140625" customWidth="1"/>
    <col min="1019" max="1019" width="9.7109375" customWidth="1"/>
    <col min="1020" max="1033" width="9.140625" customWidth="1"/>
    <col min="1237" max="1237" width="21.5703125" customWidth="1"/>
    <col min="1238" max="1238" width="11" customWidth="1"/>
    <col min="1239" max="1239" width="10" customWidth="1"/>
    <col min="1240" max="1274" width="9.140625" customWidth="1"/>
    <col min="1275" max="1275" width="9.7109375" customWidth="1"/>
    <col min="1276" max="1289" width="9.140625" customWidth="1"/>
    <col min="1493" max="1493" width="21.5703125" customWidth="1"/>
    <col min="1494" max="1494" width="11" customWidth="1"/>
    <col min="1495" max="1495" width="10" customWidth="1"/>
    <col min="1496" max="1530" width="9.140625" customWidth="1"/>
    <col min="1531" max="1531" width="9.7109375" customWidth="1"/>
    <col min="1532" max="1545" width="9.140625" customWidth="1"/>
    <col min="1749" max="1749" width="21.5703125" customWidth="1"/>
    <col min="1750" max="1750" width="11" customWidth="1"/>
    <col min="1751" max="1751" width="10" customWidth="1"/>
    <col min="1752" max="1786" width="9.140625" customWidth="1"/>
    <col min="1787" max="1787" width="9.7109375" customWidth="1"/>
    <col min="1788" max="1801" width="9.140625" customWidth="1"/>
    <col min="2005" max="2005" width="21.5703125" customWidth="1"/>
    <col min="2006" max="2006" width="11" customWidth="1"/>
    <col min="2007" max="2007" width="10" customWidth="1"/>
    <col min="2008" max="2042" width="9.140625" customWidth="1"/>
    <col min="2043" max="2043" width="9.7109375" customWidth="1"/>
    <col min="2044" max="2057" width="9.140625" customWidth="1"/>
    <col min="2261" max="2261" width="21.5703125" customWidth="1"/>
    <col min="2262" max="2262" width="11" customWidth="1"/>
    <col min="2263" max="2263" width="10" customWidth="1"/>
    <col min="2264" max="2298" width="9.140625" customWidth="1"/>
    <col min="2299" max="2299" width="9.7109375" customWidth="1"/>
    <col min="2300" max="2313" width="9.140625" customWidth="1"/>
    <col min="2517" max="2517" width="21.5703125" customWidth="1"/>
    <col min="2518" max="2518" width="11" customWidth="1"/>
    <col min="2519" max="2519" width="10" customWidth="1"/>
    <col min="2520" max="2554" width="9.140625" customWidth="1"/>
    <col min="2555" max="2555" width="9.7109375" customWidth="1"/>
    <col min="2556" max="2569" width="9.140625" customWidth="1"/>
    <col min="2773" max="2773" width="21.5703125" customWidth="1"/>
    <col min="2774" max="2774" width="11" customWidth="1"/>
    <col min="2775" max="2775" width="10" customWidth="1"/>
    <col min="2776" max="2810" width="9.140625" customWidth="1"/>
    <col min="2811" max="2811" width="9.7109375" customWidth="1"/>
    <col min="2812" max="2825" width="9.140625" customWidth="1"/>
    <col min="3029" max="3029" width="21.5703125" customWidth="1"/>
    <col min="3030" max="3030" width="11" customWidth="1"/>
    <col min="3031" max="3031" width="10" customWidth="1"/>
    <col min="3032" max="3066" width="9.140625" customWidth="1"/>
    <col min="3067" max="3067" width="9.7109375" customWidth="1"/>
    <col min="3068" max="3081" width="9.140625" customWidth="1"/>
    <col min="3285" max="3285" width="21.5703125" customWidth="1"/>
    <col min="3286" max="3286" width="11" customWidth="1"/>
    <col min="3287" max="3287" width="10" customWidth="1"/>
    <col min="3288" max="3322" width="9.140625" customWidth="1"/>
    <col min="3323" max="3323" width="9.7109375" customWidth="1"/>
    <col min="3324" max="3337" width="9.140625" customWidth="1"/>
    <col min="3541" max="3541" width="21.5703125" customWidth="1"/>
    <col min="3542" max="3542" width="11" customWidth="1"/>
    <col min="3543" max="3543" width="10" customWidth="1"/>
    <col min="3544" max="3578" width="9.140625" customWidth="1"/>
    <col min="3579" max="3579" width="9.7109375" customWidth="1"/>
    <col min="3580" max="3593" width="9.140625" customWidth="1"/>
    <col min="3797" max="3797" width="21.5703125" customWidth="1"/>
    <col min="3798" max="3798" width="11" customWidth="1"/>
    <col min="3799" max="3799" width="10" customWidth="1"/>
    <col min="3800" max="3834" width="9.140625" customWidth="1"/>
    <col min="3835" max="3835" width="9.7109375" customWidth="1"/>
    <col min="3836" max="3849" width="9.140625" customWidth="1"/>
    <col min="4053" max="4053" width="21.5703125" customWidth="1"/>
    <col min="4054" max="4054" width="11" customWidth="1"/>
    <col min="4055" max="4055" width="10" customWidth="1"/>
    <col min="4056" max="4090" width="9.140625" customWidth="1"/>
    <col min="4091" max="4091" width="9.7109375" customWidth="1"/>
    <col min="4092" max="4105" width="9.140625" customWidth="1"/>
    <col min="4309" max="4309" width="21.5703125" customWidth="1"/>
    <col min="4310" max="4310" width="11" customWidth="1"/>
    <col min="4311" max="4311" width="10" customWidth="1"/>
    <col min="4312" max="4346" width="9.140625" customWidth="1"/>
    <col min="4347" max="4347" width="9.7109375" customWidth="1"/>
    <col min="4348" max="4361" width="9.140625" customWidth="1"/>
    <col min="4565" max="4565" width="21.5703125" customWidth="1"/>
    <col min="4566" max="4566" width="11" customWidth="1"/>
    <col min="4567" max="4567" width="10" customWidth="1"/>
    <col min="4568" max="4602" width="9.140625" customWidth="1"/>
    <col min="4603" max="4603" width="9.7109375" customWidth="1"/>
    <col min="4604" max="4617" width="9.140625" customWidth="1"/>
    <col min="4821" max="4821" width="21.5703125" customWidth="1"/>
    <col min="4822" max="4822" width="11" customWidth="1"/>
    <col min="4823" max="4823" width="10" customWidth="1"/>
    <col min="4824" max="4858" width="9.140625" customWidth="1"/>
    <col min="4859" max="4859" width="9.7109375" customWidth="1"/>
    <col min="4860" max="4873" width="9.140625" customWidth="1"/>
    <col min="5077" max="5077" width="21.5703125" customWidth="1"/>
    <col min="5078" max="5078" width="11" customWidth="1"/>
    <col min="5079" max="5079" width="10" customWidth="1"/>
    <col min="5080" max="5114" width="9.140625" customWidth="1"/>
    <col min="5115" max="5115" width="9.7109375" customWidth="1"/>
    <col min="5116" max="5129" width="9.140625" customWidth="1"/>
    <col min="5333" max="5333" width="21.5703125" customWidth="1"/>
    <col min="5334" max="5334" width="11" customWidth="1"/>
    <col min="5335" max="5335" width="10" customWidth="1"/>
    <col min="5336" max="5370" width="9.140625" customWidth="1"/>
    <col min="5371" max="5371" width="9.7109375" customWidth="1"/>
    <col min="5372" max="5385" width="9.140625" customWidth="1"/>
    <col min="5589" max="5589" width="21.5703125" customWidth="1"/>
    <col min="5590" max="5590" width="11" customWidth="1"/>
    <col min="5591" max="5591" width="10" customWidth="1"/>
    <col min="5592" max="5626" width="9.140625" customWidth="1"/>
    <col min="5627" max="5627" width="9.7109375" customWidth="1"/>
    <col min="5628" max="5641" width="9.140625" customWidth="1"/>
    <col min="5845" max="5845" width="21.5703125" customWidth="1"/>
    <col min="5846" max="5846" width="11" customWidth="1"/>
    <col min="5847" max="5847" width="10" customWidth="1"/>
    <col min="5848" max="5882" width="9.140625" customWidth="1"/>
    <col min="5883" max="5883" width="9.7109375" customWidth="1"/>
    <col min="5884" max="5897" width="9.140625" customWidth="1"/>
    <col min="6101" max="6101" width="21.5703125" customWidth="1"/>
    <col min="6102" max="6102" width="11" customWidth="1"/>
    <col min="6103" max="6103" width="10" customWidth="1"/>
    <col min="6104" max="6138" width="9.140625" customWidth="1"/>
    <col min="6139" max="6139" width="9.7109375" customWidth="1"/>
    <col min="6140" max="6153" width="9.140625" customWidth="1"/>
    <col min="6357" max="6357" width="21.5703125" customWidth="1"/>
    <col min="6358" max="6358" width="11" customWidth="1"/>
    <col min="6359" max="6359" width="10" customWidth="1"/>
    <col min="6360" max="6394" width="9.140625" customWidth="1"/>
    <col min="6395" max="6395" width="9.7109375" customWidth="1"/>
    <col min="6396" max="6409" width="9.140625" customWidth="1"/>
    <col min="6613" max="6613" width="21.5703125" customWidth="1"/>
    <col min="6614" max="6614" width="11" customWidth="1"/>
    <col min="6615" max="6615" width="10" customWidth="1"/>
    <col min="6616" max="6650" width="9.140625" customWidth="1"/>
    <col min="6651" max="6651" width="9.7109375" customWidth="1"/>
    <col min="6652" max="6665" width="9.140625" customWidth="1"/>
    <col min="6869" max="6869" width="21.5703125" customWidth="1"/>
    <col min="6870" max="6870" width="11" customWidth="1"/>
    <col min="6871" max="6871" width="10" customWidth="1"/>
    <col min="6872" max="6906" width="9.140625" customWidth="1"/>
    <col min="6907" max="6907" width="9.7109375" customWidth="1"/>
    <col min="6908" max="6921" width="9.140625" customWidth="1"/>
    <col min="7125" max="7125" width="21.5703125" customWidth="1"/>
    <col min="7126" max="7126" width="11" customWidth="1"/>
    <col min="7127" max="7127" width="10" customWidth="1"/>
    <col min="7128" max="7162" width="9.140625" customWidth="1"/>
    <col min="7163" max="7163" width="9.7109375" customWidth="1"/>
    <col min="7164" max="7177" width="9.140625" customWidth="1"/>
    <col min="7381" max="7381" width="21.5703125" customWidth="1"/>
    <col min="7382" max="7382" width="11" customWidth="1"/>
    <col min="7383" max="7383" width="10" customWidth="1"/>
    <col min="7384" max="7418" width="9.140625" customWidth="1"/>
    <col min="7419" max="7419" width="9.7109375" customWidth="1"/>
    <col min="7420" max="7433" width="9.140625" customWidth="1"/>
    <col min="7637" max="7637" width="21.5703125" customWidth="1"/>
    <col min="7638" max="7638" width="11" customWidth="1"/>
    <col min="7639" max="7639" width="10" customWidth="1"/>
    <col min="7640" max="7674" width="9.140625" customWidth="1"/>
    <col min="7675" max="7675" width="9.7109375" customWidth="1"/>
    <col min="7676" max="7689" width="9.140625" customWidth="1"/>
    <col min="7893" max="7893" width="21.5703125" customWidth="1"/>
    <col min="7894" max="7894" width="11" customWidth="1"/>
    <col min="7895" max="7895" width="10" customWidth="1"/>
    <col min="7896" max="7930" width="9.140625" customWidth="1"/>
    <col min="7931" max="7931" width="9.7109375" customWidth="1"/>
    <col min="7932" max="7945" width="9.140625" customWidth="1"/>
    <col min="8149" max="8149" width="21.5703125" customWidth="1"/>
    <col min="8150" max="8150" width="11" customWidth="1"/>
    <col min="8151" max="8151" width="10" customWidth="1"/>
    <col min="8152" max="8186" width="9.140625" customWidth="1"/>
    <col min="8187" max="8187" width="9.7109375" customWidth="1"/>
    <col min="8188" max="8201" width="9.140625" customWidth="1"/>
    <col min="8405" max="8405" width="21.5703125" customWidth="1"/>
    <col min="8406" max="8406" width="11" customWidth="1"/>
    <col min="8407" max="8407" width="10" customWidth="1"/>
    <col min="8408" max="8442" width="9.140625" customWidth="1"/>
    <col min="8443" max="8443" width="9.7109375" customWidth="1"/>
    <col min="8444" max="8457" width="9.140625" customWidth="1"/>
    <col min="8661" max="8661" width="21.5703125" customWidth="1"/>
    <col min="8662" max="8662" width="11" customWidth="1"/>
    <col min="8663" max="8663" width="10" customWidth="1"/>
    <col min="8664" max="8698" width="9.140625" customWidth="1"/>
    <col min="8699" max="8699" width="9.7109375" customWidth="1"/>
    <col min="8700" max="8713" width="9.140625" customWidth="1"/>
    <col min="8917" max="8917" width="21.5703125" customWidth="1"/>
    <col min="8918" max="8918" width="11" customWidth="1"/>
    <col min="8919" max="8919" width="10" customWidth="1"/>
    <col min="8920" max="8954" width="9.140625" customWidth="1"/>
    <col min="8955" max="8955" width="9.7109375" customWidth="1"/>
    <col min="8956" max="8969" width="9.140625" customWidth="1"/>
    <col min="9173" max="9173" width="21.5703125" customWidth="1"/>
    <col min="9174" max="9174" width="11" customWidth="1"/>
    <col min="9175" max="9175" width="10" customWidth="1"/>
    <col min="9176" max="9210" width="9.140625" customWidth="1"/>
    <col min="9211" max="9211" width="9.7109375" customWidth="1"/>
    <col min="9212" max="9225" width="9.140625" customWidth="1"/>
    <col min="9429" max="9429" width="21.5703125" customWidth="1"/>
    <col min="9430" max="9430" width="11" customWidth="1"/>
    <col min="9431" max="9431" width="10" customWidth="1"/>
    <col min="9432" max="9466" width="9.140625" customWidth="1"/>
    <col min="9467" max="9467" width="9.7109375" customWidth="1"/>
    <col min="9468" max="9481" width="9.140625" customWidth="1"/>
    <col min="9685" max="9685" width="21.5703125" customWidth="1"/>
    <col min="9686" max="9686" width="11" customWidth="1"/>
    <col min="9687" max="9687" width="10" customWidth="1"/>
    <col min="9688" max="9722" width="9.140625" customWidth="1"/>
    <col min="9723" max="9723" width="9.7109375" customWidth="1"/>
    <col min="9724" max="9737" width="9.140625" customWidth="1"/>
    <col min="9941" max="9941" width="21.5703125" customWidth="1"/>
    <col min="9942" max="9942" width="11" customWidth="1"/>
    <col min="9943" max="9943" width="10" customWidth="1"/>
    <col min="9944" max="9978" width="9.140625" customWidth="1"/>
    <col min="9979" max="9979" width="9.7109375" customWidth="1"/>
    <col min="9980" max="9993" width="9.140625" customWidth="1"/>
    <col min="10197" max="10197" width="21.5703125" customWidth="1"/>
    <col min="10198" max="10198" width="11" customWidth="1"/>
    <col min="10199" max="10199" width="10" customWidth="1"/>
    <col min="10200" max="10234" width="9.140625" customWidth="1"/>
    <col min="10235" max="10235" width="9.7109375" customWidth="1"/>
    <col min="10236" max="10249" width="9.140625" customWidth="1"/>
    <col min="10453" max="10453" width="21.5703125" customWidth="1"/>
    <col min="10454" max="10454" width="11" customWidth="1"/>
    <col min="10455" max="10455" width="10" customWidth="1"/>
    <col min="10456" max="10490" width="9.140625" customWidth="1"/>
    <col min="10491" max="10491" width="9.7109375" customWidth="1"/>
    <col min="10492" max="10505" width="9.140625" customWidth="1"/>
    <col min="10709" max="10709" width="21.5703125" customWidth="1"/>
    <col min="10710" max="10710" width="11" customWidth="1"/>
    <col min="10711" max="10711" width="10" customWidth="1"/>
    <col min="10712" max="10746" width="9.140625" customWidth="1"/>
    <col min="10747" max="10747" width="9.7109375" customWidth="1"/>
    <col min="10748" max="10761" width="9.140625" customWidth="1"/>
    <col min="10965" max="10965" width="21.5703125" customWidth="1"/>
    <col min="10966" max="10966" width="11" customWidth="1"/>
    <col min="10967" max="10967" width="10" customWidth="1"/>
    <col min="10968" max="11002" width="9.140625" customWidth="1"/>
    <col min="11003" max="11003" width="9.7109375" customWidth="1"/>
    <col min="11004" max="11017" width="9.140625" customWidth="1"/>
    <col min="11221" max="11221" width="21.5703125" customWidth="1"/>
    <col min="11222" max="11222" width="11" customWidth="1"/>
    <col min="11223" max="11223" width="10" customWidth="1"/>
    <col min="11224" max="11258" width="9.140625" customWidth="1"/>
    <col min="11259" max="11259" width="9.7109375" customWidth="1"/>
    <col min="11260" max="11273" width="9.140625" customWidth="1"/>
    <col min="11477" max="11477" width="21.5703125" customWidth="1"/>
    <col min="11478" max="11478" width="11" customWidth="1"/>
    <col min="11479" max="11479" width="10" customWidth="1"/>
    <col min="11480" max="11514" width="9.140625" customWidth="1"/>
    <col min="11515" max="11515" width="9.7109375" customWidth="1"/>
    <col min="11516" max="11529" width="9.140625" customWidth="1"/>
    <col min="11733" max="11733" width="21.5703125" customWidth="1"/>
    <col min="11734" max="11734" width="11" customWidth="1"/>
    <col min="11735" max="11735" width="10" customWidth="1"/>
    <col min="11736" max="11770" width="9.140625" customWidth="1"/>
    <col min="11771" max="11771" width="9.7109375" customWidth="1"/>
    <col min="11772" max="11785" width="9.140625" customWidth="1"/>
    <col min="11989" max="11989" width="21.5703125" customWidth="1"/>
    <col min="11990" max="11990" width="11" customWidth="1"/>
    <col min="11991" max="11991" width="10" customWidth="1"/>
    <col min="11992" max="12026" width="9.140625" customWidth="1"/>
    <col min="12027" max="12027" width="9.7109375" customWidth="1"/>
    <col min="12028" max="12041" width="9.140625" customWidth="1"/>
    <col min="12245" max="12245" width="21.5703125" customWidth="1"/>
    <col min="12246" max="12246" width="11" customWidth="1"/>
    <col min="12247" max="12247" width="10" customWidth="1"/>
    <col min="12248" max="12282" width="9.140625" customWidth="1"/>
    <col min="12283" max="12283" width="9.7109375" customWidth="1"/>
    <col min="12284" max="12297" width="9.140625" customWidth="1"/>
    <col min="12501" max="12501" width="21.5703125" customWidth="1"/>
    <col min="12502" max="12502" width="11" customWidth="1"/>
    <col min="12503" max="12503" width="10" customWidth="1"/>
    <col min="12504" max="12538" width="9.140625" customWidth="1"/>
    <col min="12539" max="12539" width="9.7109375" customWidth="1"/>
    <col min="12540" max="12553" width="9.140625" customWidth="1"/>
    <col min="12757" max="12757" width="21.5703125" customWidth="1"/>
    <col min="12758" max="12758" width="11" customWidth="1"/>
    <col min="12759" max="12759" width="10" customWidth="1"/>
    <col min="12760" max="12794" width="9.140625" customWidth="1"/>
    <col min="12795" max="12795" width="9.7109375" customWidth="1"/>
    <col min="12796" max="12809" width="9.140625" customWidth="1"/>
    <col min="13013" max="13013" width="21.5703125" customWidth="1"/>
    <col min="13014" max="13014" width="11" customWidth="1"/>
    <col min="13015" max="13015" width="10" customWidth="1"/>
    <col min="13016" max="13050" width="9.140625" customWidth="1"/>
    <col min="13051" max="13051" width="9.7109375" customWidth="1"/>
    <col min="13052" max="13065" width="9.140625" customWidth="1"/>
    <col min="13269" max="13269" width="21.5703125" customWidth="1"/>
    <col min="13270" max="13270" width="11" customWidth="1"/>
    <col min="13271" max="13271" width="10" customWidth="1"/>
    <col min="13272" max="13306" width="9.140625" customWidth="1"/>
    <col min="13307" max="13307" width="9.7109375" customWidth="1"/>
    <col min="13308" max="13321" width="9.140625" customWidth="1"/>
    <col min="13525" max="13525" width="21.5703125" customWidth="1"/>
    <col min="13526" max="13526" width="11" customWidth="1"/>
    <col min="13527" max="13527" width="10" customWidth="1"/>
    <col min="13528" max="13562" width="9.140625" customWidth="1"/>
    <col min="13563" max="13563" width="9.7109375" customWidth="1"/>
    <col min="13564" max="13577" width="9.140625" customWidth="1"/>
    <col min="13781" max="13781" width="21.5703125" customWidth="1"/>
    <col min="13782" max="13782" width="11" customWidth="1"/>
    <col min="13783" max="13783" width="10" customWidth="1"/>
    <col min="13784" max="13818" width="9.140625" customWidth="1"/>
    <col min="13819" max="13819" width="9.7109375" customWidth="1"/>
    <col min="13820" max="13833" width="9.140625" customWidth="1"/>
    <col min="14037" max="14037" width="21.5703125" customWidth="1"/>
    <col min="14038" max="14038" width="11" customWidth="1"/>
    <col min="14039" max="14039" width="10" customWidth="1"/>
    <col min="14040" max="14074" width="9.140625" customWidth="1"/>
    <col min="14075" max="14075" width="9.7109375" customWidth="1"/>
    <col min="14076" max="14089" width="9.140625" customWidth="1"/>
    <col min="14293" max="14293" width="21.5703125" customWidth="1"/>
    <col min="14294" max="14294" width="11" customWidth="1"/>
    <col min="14295" max="14295" width="10" customWidth="1"/>
    <col min="14296" max="14330" width="9.140625" customWidth="1"/>
    <col min="14331" max="14331" width="9.7109375" customWidth="1"/>
    <col min="14332" max="14345" width="9.140625" customWidth="1"/>
    <col min="14549" max="14549" width="21.5703125" customWidth="1"/>
    <col min="14550" max="14550" width="11" customWidth="1"/>
    <col min="14551" max="14551" width="10" customWidth="1"/>
    <col min="14552" max="14586" width="9.140625" customWidth="1"/>
    <col min="14587" max="14587" width="9.7109375" customWidth="1"/>
    <col min="14588" max="14601" width="9.140625" customWidth="1"/>
    <col min="14805" max="14805" width="21.5703125" customWidth="1"/>
    <col min="14806" max="14806" width="11" customWidth="1"/>
    <col min="14807" max="14807" width="10" customWidth="1"/>
    <col min="14808" max="14842" width="9.140625" customWidth="1"/>
    <col min="14843" max="14843" width="9.7109375" customWidth="1"/>
    <col min="14844" max="14857" width="9.140625" customWidth="1"/>
    <col min="15061" max="15061" width="21.5703125" customWidth="1"/>
    <col min="15062" max="15062" width="11" customWidth="1"/>
    <col min="15063" max="15063" width="10" customWidth="1"/>
    <col min="15064" max="15098" width="9.140625" customWidth="1"/>
    <col min="15099" max="15099" width="9.7109375" customWidth="1"/>
    <col min="15100" max="15113" width="9.140625" customWidth="1"/>
    <col min="15317" max="15317" width="21.5703125" customWidth="1"/>
    <col min="15318" max="15318" width="11" customWidth="1"/>
    <col min="15319" max="15319" width="10" customWidth="1"/>
    <col min="15320" max="15354" width="9.140625" customWidth="1"/>
    <col min="15355" max="15355" width="9.7109375" customWidth="1"/>
    <col min="15356" max="15369" width="9.140625" customWidth="1"/>
    <col min="15573" max="15573" width="21.5703125" customWidth="1"/>
    <col min="15574" max="15574" width="11" customWidth="1"/>
    <col min="15575" max="15575" width="10" customWidth="1"/>
    <col min="15576" max="15610" width="9.140625" customWidth="1"/>
    <col min="15611" max="15611" width="9.7109375" customWidth="1"/>
    <col min="15612" max="15625" width="9.140625" customWidth="1"/>
    <col min="15829" max="15829" width="21.5703125" customWidth="1"/>
    <col min="15830" max="15830" width="11" customWidth="1"/>
    <col min="15831" max="15831" width="10" customWidth="1"/>
    <col min="15832" max="15866" width="9.140625" customWidth="1"/>
    <col min="15867" max="15867" width="9.7109375" customWidth="1"/>
    <col min="15868" max="15881" width="9.140625" customWidth="1"/>
    <col min="16085" max="16085" width="21.5703125" customWidth="1"/>
    <col min="16086" max="16086" width="11" customWidth="1"/>
    <col min="16087" max="16087" width="10" customWidth="1"/>
    <col min="16088" max="16122" width="9.140625" customWidth="1"/>
    <col min="16123" max="16123" width="9.7109375" customWidth="1"/>
    <col min="16124" max="16137" width="9.140625" customWidth="1"/>
  </cols>
  <sheetData>
    <row r="1" spans="1:41" ht="15.75" customHeight="1" thickBot="1" x14ac:dyDescent="0.35">
      <c r="A1" s="1"/>
      <c r="B1" s="401" t="s">
        <v>87</v>
      </c>
      <c r="C1" s="401"/>
      <c r="D1" s="401"/>
      <c r="E1" s="401"/>
      <c r="F1" s="401"/>
      <c r="G1" s="401"/>
      <c r="H1" s="401"/>
      <c r="I1" s="401"/>
      <c r="J1" s="401"/>
      <c r="K1" s="4"/>
      <c r="L1" s="2"/>
      <c r="M1" s="1"/>
      <c r="N1" s="1"/>
      <c r="O1" s="3"/>
    </row>
    <row r="2" spans="1:41" ht="15.75" customHeight="1" x14ac:dyDescent="0.25">
      <c r="A2" s="414" t="s">
        <v>4</v>
      </c>
      <c r="B2" s="417" t="s">
        <v>3</v>
      </c>
      <c r="C2" s="420" t="s">
        <v>5</v>
      </c>
      <c r="D2" s="408" t="s">
        <v>77</v>
      </c>
      <c r="E2" s="409"/>
      <c r="F2" s="410"/>
      <c r="G2" s="423" t="s">
        <v>78</v>
      </c>
      <c r="H2" s="424"/>
      <c r="I2" s="425"/>
      <c r="J2" s="408" t="s">
        <v>79</v>
      </c>
      <c r="K2" s="409"/>
      <c r="L2" s="410"/>
      <c r="M2" s="408" t="s">
        <v>80</v>
      </c>
      <c r="N2" s="409"/>
      <c r="O2" s="410"/>
    </row>
    <row r="3" spans="1:41" ht="39" customHeight="1" thickBot="1" x14ac:dyDescent="0.3">
      <c r="A3" s="415"/>
      <c r="B3" s="418"/>
      <c r="C3" s="421"/>
      <c r="D3" s="412"/>
      <c r="E3" s="412"/>
      <c r="F3" s="413"/>
      <c r="G3" s="426"/>
      <c r="H3" s="426"/>
      <c r="I3" s="427"/>
      <c r="J3" s="411"/>
      <c r="K3" s="412"/>
      <c r="L3" s="413"/>
      <c r="M3" s="411"/>
      <c r="N3" s="412"/>
      <c r="O3" s="413"/>
    </row>
    <row r="4" spans="1:41" ht="54.75" customHeight="1" thickBot="1" x14ac:dyDescent="0.3">
      <c r="A4" s="416"/>
      <c r="B4" s="419"/>
      <c r="C4" s="422"/>
      <c r="D4" s="91" t="s">
        <v>6</v>
      </c>
      <c r="E4" s="5" t="s">
        <v>37</v>
      </c>
      <c r="F4" s="6" t="s">
        <v>7</v>
      </c>
      <c r="G4" s="128" t="s">
        <v>6</v>
      </c>
      <c r="H4" s="5" t="s">
        <v>37</v>
      </c>
      <c r="I4" s="127" t="s">
        <v>7</v>
      </c>
      <c r="J4" s="91" t="s">
        <v>6</v>
      </c>
      <c r="K4" s="5" t="s">
        <v>37</v>
      </c>
      <c r="L4" s="6" t="s">
        <v>7</v>
      </c>
      <c r="M4" s="5" t="s">
        <v>6</v>
      </c>
      <c r="N4" s="5" t="s">
        <v>37</v>
      </c>
      <c r="O4" s="6" t="s">
        <v>7</v>
      </c>
    </row>
    <row r="5" spans="1:41" s="28" customFormat="1" ht="15.75" x14ac:dyDescent="0.25">
      <c r="A5" s="15">
        <v>1</v>
      </c>
      <c r="B5" s="16" t="s">
        <v>40</v>
      </c>
      <c r="C5" s="17"/>
      <c r="D5" s="29">
        <f>COUNT(Январь!G3:G20)</f>
        <v>17</v>
      </c>
      <c r="E5" s="98">
        <f>SUM(Январь!G3:G20)</f>
        <v>70.599999999627471</v>
      </c>
      <c r="F5" s="30">
        <f t="shared" ref="F5:F7" si="0">E5/D5</f>
        <v>4.1529411764486746</v>
      </c>
      <c r="G5" s="29">
        <f>COUNT(Февраль!G3:G16)</f>
        <v>14</v>
      </c>
      <c r="H5" s="98">
        <f>SUM(Февраль!G3:G16)</f>
        <v>22.966666666790843</v>
      </c>
      <c r="I5" s="30">
        <f t="shared" ref="I5:I10" si="1">H5/G5</f>
        <v>1.6404761904850602</v>
      </c>
      <c r="J5" s="108">
        <f>COUNT(Март!G3:G13)</f>
        <v>8</v>
      </c>
      <c r="K5" s="105">
        <f>SUM(Март!G3:G13)</f>
        <v>19.599999999976717</v>
      </c>
      <c r="L5" s="30">
        <f t="shared" ref="L5:L23" si="2">K5/J5</f>
        <v>2.4499999999970896</v>
      </c>
      <c r="M5" s="124">
        <f t="shared" ref="M5:M22" si="3">D5+G5+J5</f>
        <v>39</v>
      </c>
      <c r="N5" s="114">
        <f t="shared" ref="N5:N22" si="4">E5+H5+K5</f>
        <v>113.16666666639503</v>
      </c>
      <c r="O5" s="113">
        <f t="shared" ref="O5:O23" si="5">N5/M5</f>
        <v>2.9017094017024365</v>
      </c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</row>
    <row r="6" spans="1:41" s="28" customFormat="1" ht="15" customHeight="1" x14ac:dyDescent="0.25">
      <c r="A6" s="18"/>
      <c r="B6" s="19" t="s">
        <v>8</v>
      </c>
      <c r="C6" s="20" t="s">
        <v>9</v>
      </c>
      <c r="D6" s="31">
        <f>COUNTIF(Январь!D3:D20, 0.4)</f>
        <v>0</v>
      </c>
      <c r="E6" s="88">
        <f>SUMIF(Январь!D3:D20, 0.4, Январь!G3:G20)</f>
        <v>0</v>
      </c>
      <c r="F6" s="32"/>
      <c r="G6" s="31">
        <f>COUNTIF(Февраль!D3:D16, 0.4)</f>
        <v>1</v>
      </c>
      <c r="H6" s="88">
        <f>SUMIF(Февраль!D3:D16, 0.4, Февраль!G3:G16)</f>
        <v>1.5499999999883585</v>
      </c>
      <c r="I6" s="32">
        <f>H6/G6</f>
        <v>1.5499999999883585</v>
      </c>
      <c r="J6" s="109">
        <f>COUNTIF(Март!D3:D13, 0.4)</f>
        <v>0</v>
      </c>
      <c r="K6" s="106">
        <f>SUMIF(Март!D3:D13, 0.4, Март!G3:G13)</f>
        <v>0</v>
      </c>
      <c r="L6" s="32"/>
      <c r="M6" s="125">
        <f t="shared" si="3"/>
        <v>1</v>
      </c>
      <c r="N6" s="115">
        <f t="shared" si="4"/>
        <v>1.5499999999883585</v>
      </c>
      <c r="O6" s="21">
        <f t="shared" si="5"/>
        <v>1.5499999999883585</v>
      </c>
      <c r="P6" s="141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28" customFormat="1" ht="15.75" customHeight="1" thickBot="1" x14ac:dyDescent="0.3">
      <c r="A7" s="129"/>
      <c r="B7" s="130"/>
      <c r="C7" s="131" t="s">
        <v>10</v>
      </c>
      <c r="D7" s="33">
        <f>COUNTIF(Январь!D3:D20,10)+COUNTIF(Январь!D3:D20,6)+COUNTIF(Январь!D3:D20,35)+COUNTIF(Январь!D3:D20,110)</f>
        <v>17</v>
      </c>
      <c r="E7" s="89">
        <f>SUMIF(Январь!D3:D20, 10, Январь!G3:G20)+SUMIF(Январь!D3:D20, 6, Январь!G3:G20)+SUMIF(Январь!D3:D20, 35, Январь!G3:G20)+SUMIF(Январь!D3:D20, 110, Январь!G3:G20)</f>
        <v>70.599999999627471</v>
      </c>
      <c r="F7" s="34">
        <f t="shared" si="0"/>
        <v>4.1529411764486746</v>
      </c>
      <c r="G7" s="33">
        <f>COUNTIF(Февраль!D3:D16,10)+COUNTIF(Февраль!D3:D16,6)+COUNTIF(Февраль!D3:D16,35)+COUNTIF(Февраль!D3:D16,110)</f>
        <v>13</v>
      </c>
      <c r="H7" s="89">
        <f>SUMIF(Февраль!D3:D16, 10, Февраль!G3:G16)+SUMIF(Февраль!D3:D16, 6, Февраль!G3:G16)+SUMIF(Февраль!D3:D16, 35, Февраль!G3:G16)+SUMIF(Февраль!D3:D16, 110, Февраль!G3:G16)</f>
        <v>21.416666666802485</v>
      </c>
      <c r="I7" s="34">
        <f t="shared" si="1"/>
        <v>1.647435897446345</v>
      </c>
      <c r="J7" s="110">
        <f>COUNTIF(Март!D3:D13,10)+COUNTIF(Март!D3:D13,6)+COUNTIF(Март!D3:D13,35)+COUNTIF(Март!D3:D13,110)</f>
        <v>8</v>
      </c>
      <c r="K7" s="107">
        <f>SUMIF(Март!D3:D13, 10, Март!G3:G13)+SUMIF(Март!D3:D13, 6, Март!G3:G13)+SUMIF(Март!D3:D13, 35, Март!G3:G13)+SUMIF(Март!D3:D13, 110, Март!G3:G13)</f>
        <v>19.599999999976717</v>
      </c>
      <c r="L7" s="34">
        <f t="shared" si="2"/>
        <v>2.4499999999970896</v>
      </c>
      <c r="M7" s="132">
        <f t="shared" si="3"/>
        <v>38</v>
      </c>
      <c r="N7" s="122">
        <f t="shared" si="4"/>
        <v>111.61666666640667</v>
      </c>
      <c r="O7" s="123">
        <f t="shared" si="5"/>
        <v>2.937280701747544</v>
      </c>
      <c r="P7" s="141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</row>
    <row r="8" spans="1:41" s="90" customFormat="1" ht="15.75" x14ac:dyDescent="0.25">
      <c r="A8" s="136">
        <v>2</v>
      </c>
      <c r="B8" s="137" t="s">
        <v>43</v>
      </c>
      <c r="C8" s="138"/>
      <c r="D8" s="152">
        <f>COUNT(Январь!G21:G48)</f>
        <v>28</v>
      </c>
      <c r="E8" s="153">
        <f>SUM(Январь!G21:G48)</f>
        <v>72.316666666127276</v>
      </c>
      <c r="F8" s="154">
        <f t="shared" ref="F8:F10" si="6">E8/D8</f>
        <v>2.5827380952188315</v>
      </c>
      <c r="G8" s="152">
        <f>COUNT(Февраль!G17:G30)</f>
        <v>12</v>
      </c>
      <c r="H8" s="153">
        <f>SUM(Февраль!G17:G30)</f>
        <v>40.983333333337214</v>
      </c>
      <c r="I8" s="154">
        <f t="shared" si="1"/>
        <v>3.4152777777781012</v>
      </c>
      <c r="J8" s="175">
        <f>COUNT(Март!G14:G33)</f>
        <v>20</v>
      </c>
      <c r="K8" s="176">
        <f>SUM(Март!G14:G33)</f>
        <v>57.6666666669189</v>
      </c>
      <c r="L8" s="154">
        <f t="shared" si="2"/>
        <v>2.883333333345945</v>
      </c>
      <c r="M8" s="166">
        <f t="shared" si="3"/>
        <v>60</v>
      </c>
      <c r="N8" s="167">
        <f t="shared" si="4"/>
        <v>170.96666666638339</v>
      </c>
      <c r="O8" s="168">
        <f t="shared" si="5"/>
        <v>2.8494444444397233</v>
      </c>
      <c r="P8" s="141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</row>
    <row r="9" spans="1:41" s="90" customFormat="1" ht="15" customHeight="1" x14ac:dyDescent="0.25">
      <c r="A9" s="9"/>
      <c r="B9" s="10" t="s">
        <v>8</v>
      </c>
      <c r="C9" s="11" t="s">
        <v>9</v>
      </c>
      <c r="D9" s="155">
        <f>COUNTIF(Январь!D21:D48, 0.4)</f>
        <v>0</v>
      </c>
      <c r="E9" s="156">
        <f>SUMIF(Январь!D21:D48, 0.4, Январь!G21:G48)</f>
        <v>0</v>
      </c>
      <c r="F9" s="157"/>
      <c r="G9" s="155">
        <f>COUNTIF(Февраль!D17:D30, 0.4)</f>
        <v>0</v>
      </c>
      <c r="H9" s="156">
        <f>SUMIF(Февраль!D17:D30, 0.4, Февраль!G17:G30)</f>
        <v>0</v>
      </c>
      <c r="I9" s="157"/>
      <c r="J9" s="177">
        <f>COUNTIF(Март!D14:D33, 0.4)</f>
        <v>0</v>
      </c>
      <c r="K9" s="178">
        <f>SUMIF(Март!D14:D33, 0.4, Март!G14:G33)</f>
        <v>0</v>
      </c>
      <c r="L9" s="157"/>
      <c r="M9" s="169">
        <f t="shared" si="3"/>
        <v>0</v>
      </c>
      <c r="N9" s="170">
        <f t="shared" si="4"/>
        <v>0</v>
      </c>
      <c r="O9" s="171"/>
      <c r="P9" s="141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</row>
    <row r="10" spans="1:41" s="90" customFormat="1" ht="15.75" customHeight="1" thickBot="1" x14ac:dyDescent="0.3">
      <c r="A10" s="12"/>
      <c r="B10" s="13"/>
      <c r="C10" s="14" t="s">
        <v>10</v>
      </c>
      <c r="D10" s="158">
        <f>COUNTIF(Январь!D21:D48,10)+COUNTIF(Январь!D21:D48,6)+COUNTIF(Январь!D21:D48,35)+COUNTIF(Январь!D21:D48,110)</f>
        <v>28</v>
      </c>
      <c r="E10" s="159">
        <f>SUMIF(Январь!D21:D48, 10, Январь!G21:G48)+SUMIF(Январь!D21:D48, 6, Январь!G21:G48)+SUMIF(Январь!D21:D48, 35, Январь!G21:G48)+SUMIF(Январь!D21:D48, 110, Январь!G21:G48)</f>
        <v>72.316666666127276</v>
      </c>
      <c r="F10" s="160">
        <f t="shared" si="6"/>
        <v>2.5827380952188315</v>
      </c>
      <c r="G10" s="158">
        <f>COUNTIF(Февраль!D17:D30,10)+COUNTIF(Февраль!D17:D30,6)+COUNTIF(Февраль!D17:D30,35)+COUNTIF(Февраль!D17:D30,110)</f>
        <v>12</v>
      </c>
      <c r="H10" s="159">
        <f>SUMIF(Февраль!D17:D30, 10, Февраль!G17:G30)+SUMIF(Февраль!D17:D30, 6, Февраль!G17:G30)+SUMIF(Февраль!D17:D30, 35, Февраль!G17:G30)+SUMIF(Февраль!D17:D30, 110, Февраль!G17:G30)</f>
        <v>40.983333333337214</v>
      </c>
      <c r="I10" s="160">
        <f t="shared" si="1"/>
        <v>3.4152777777781012</v>
      </c>
      <c r="J10" s="179">
        <f>COUNTIF(Март!D14:D33,10)+COUNTIF(Март!D14:D33,6)+COUNTIF(Март!D14:D33,35)+COUNTIF(Март!D14:D33,110)</f>
        <v>20</v>
      </c>
      <c r="K10" s="180">
        <f>SUMIF(Март!D14:D33, 10, Март!G14:G33)+SUMIF(Март!D14:D33, 6, Март!G14:G33)+SUMIF(Март!D14:D33, 35, Март!G14:G33)+SUMIF(Март!D14:D33, 110, Март!G14:G33)</f>
        <v>57.6666666669189</v>
      </c>
      <c r="L10" s="160">
        <f t="shared" si="2"/>
        <v>2.883333333345945</v>
      </c>
      <c r="M10" s="172">
        <f t="shared" si="3"/>
        <v>60</v>
      </c>
      <c r="N10" s="173">
        <f t="shared" si="4"/>
        <v>170.96666666638339</v>
      </c>
      <c r="O10" s="174">
        <f t="shared" si="5"/>
        <v>2.8494444444397233</v>
      </c>
      <c r="P10" s="141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</row>
    <row r="11" spans="1:41" s="28" customFormat="1" ht="15.75" x14ac:dyDescent="0.25">
      <c r="A11" s="25">
        <v>3</v>
      </c>
      <c r="B11" s="26" t="s">
        <v>30</v>
      </c>
      <c r="C11" s="27"/>
      <c r="D11" s="29">
        <f>COUNT(Январь!G49:G68)</f>
        <v>20</v>
      </c>
      <c r="E11" s="98">
        <f>SUM(Январь!G49:G68)</f>
        <v>35.933333332941402</v>
      </c>
      <c r="F11" s="30">
        <f t="shared" ref="F11:F14" si="7">E11/D11</f>
        <v>1.7966666666470701</v>
      </c>
      <c r="G11" s="29">
        <f>COUNT(Февраль!G31:G51)</f>
        <v>21</v>
      </c>
      <c r="H11" s="98">
        <f>SUM(Февраль!G31:G51)</f>
        <v>48.366666666988749</v>
      </c>
      <c r="I11" s="30">
        <f t="shared" ref="I11:I16" si="8">H11/G11</f>
        <v>2.3031746031899405</v>
      </c>
      <c r="J11" s="108">
        <f>COUNT(Март!G34:G49)</f>
        <v>16</v>
      </c>
      <c r="K11" s="105">
        <f>SUM(Март!G34:G49)</f>
        <v>28.483333332755137</v>
      </c>
      <c r="L11" s="30">
        <f t="shared" si="2"/>
        <v>1.7802083332971961</v>
      </c>
      <c r="M11" s="124">
        <f t="shared" si="3"/>
        <v>57</v>
      </c>
      <c r="N11" s="114">
        <f t="shared" si="4"/>
        <v>112.78333333268529</v>
      </c>
      <c r="O11" s="113">
        <f t="shared" si="5"/>
        <v>1.9786549707488648</v>
      </c>
      <c r="P11" s="141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</row>
    <row r="12" spans="1:41" s="28" customFormat="1" ht="15" customHeight="1" x14ac:dyDescent="0.25">
      <c r="A12" s="18"/>
      <c r="B12" s="19" t="s">
        <v>8</v>
      </c>
      <c r="C12" s="20" t="s">
        <v>9</v>
      </c>
      <c r="D12" s="31">
        <f>COUNTIF(Январь!D49:D68, 0.4)</f>
        <v>0</v>
      </c>
      <c r="E12" s="88">
        <f>SUMIF(Январь!D49:D68, 0.4, Январь!G49:G68)</f>
        <v>0</v>
      </c>
      <c r="F12" s="32"/>
      <c r="G12" s="31">
        <f>COUNTIF(Февраль!D31:D51, 0.4)</f>
        <v>5</v>
      </c>
      <c r="H12" s="88">
        <f>SUMIF(Февраль!D31:D51, 0.4, Февраль!G31:G51)</f>
        <v>10.749999999941792</v>
      </c>
      <c r="I12" s="32">
        <f>H12/G12</f>
        <v>2.1499999999883586</v>
      </c>
      <c r="J12" s="109">
        <f>COUNTIF(Март!D34:D49, 0.4)</f>
        <v>3</v>
      </c>
      <c r="K12" s="106">
        <f>SUMIF(Март!D34:D49, 0.4, Март!G34:G49)</f>
        <v>4.499999999825377</v>
      </c>
      <c r="L12" s="32">
        <f>K12/J12</f>
        <v>1.4999999999417923</v>
      </c>
      <c r="M12" s="125">
        <f t="shared" si="3"/>
        <v>8</v>
      </c>
      <c r="N12" s="115">
        <f t="shared" si="4"/>
        <v>15.249999999767169</v>
      </c>
      <c r="O12" s="21">
        <f t="shared" si="5"/>
        <v>1.9062499999708962</v>
      </c>
      <c r="P12" s="141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</row>
    <row r="13" spans="1:41" s="28" customFormat="1" ht="15.75" customHeight="1" thickBot="1" x14ac:dyDescent="0.3">
      <c r="A13" s="22"/>
      <c r="B13" s="23"/>
      <c r="C13" s="24" t="s">
        <v>10</v>
      </c>
      <c r="D13" s="33">
        <f>COUNTIF(Январь!D49:D68,10)+COUNTIF(Январь!D49:D68,6)+COUNTIF(Январь!D49:D68,35)+COUNTIF(Январь!D49:D68,110)</f>
        <v>20</v>
      </c>
      <c r="E13" s="89">
        <f>SUMIF(Январь!D49:D68, 10, Январь!G49:G68)+SUMIF(Январь!D49:D68, 6, Январь!G49:G68)+SUMIF(Январь!D49:D68, 35, Январь!G49:G68)+SUMIF(Январь!D49:D68, 110, Январь!G49:G68)</f>
        <v>35.933333332941402</v>
      </c>
      <c r="F13" s="34">
        <f t="shared" si="7"/>
        <v>1.7966666666470701</v>
      </c>
      <c r="G13" s="33">
        <f>COUNTIF(Февраль!D31:D51,10)+COUNTIF(Февраль!D31:D51,6)+COUNTIF(Февраль!D31:D51,35)+COUNTIF(Февраль!D31:D51,110)</f>
        <v>16</v>
      </c>
      <c r="H13" s="89">
        <f>SUMIF(Февраль!D31:D51, 10, Февраль!G31:G51)+SUMIF(Февраль!D31:D51, 6, Февраль!G31:G51)+SUMIF(Февраль!D31:D51, 35, Февраль!G31:G51)+SUMIF(Февраль!D31:D51, 110, Февраль!G31:G51)</f>
        <v>37.616666667046957</v>
      </c>
      <c r="I13" s="34">
        <f t="shared" si="8"/>
        <v>2.3510416666904348</v>
      </c>
      <c r="J13" s="110">
        <f>COUNTIF(Март!D34:D49,10)+COUNTIF(Март!D34:D49,6)+COUNTIF(Март!D34:D49,35)+COUNTIF(Март!D34:D49,110)</f>
        <v>13</v>
      </c>
      <c r="K13" s="107">
        <f>SUMIF(Март!D34:D49, 10, Март!G34:G49)+SUMIF(Март!D34:D49, 6, Март!G34:G49)+SUMIF(Март!D34:D49, 35, Март!G34:G49)+SUMIF(Март!D34:D49, 110, Март!G34:G49)</f>
        <v>23.98333333292976</v>
      </c>
      <c r="L13" s="34">
        <f t="shared" si="2"/>
        <v>1.8448717948407507</v>
      </c>
      <c r="M13" s="132">
        <f t="shared" si="3"/>
        <v>49</v>
      </c>
      <c r="N13" s="122">
        <f t="shared" si="4"/>
        <v>97.533333332918119</v>
      </c>
      <c r="O13" s="123">
        <f t="shared" si="5"/>
        <v>1.9904761904677166</v>
      </c>
      <c r="P13" s="141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</row>
    <row r="14" spans="1:41" s="90" customFormat="1" ht="15.75" x14ac:dyDescent="0.25">
      <c r="A14" s="136">
        <v>4</v>
      </c>
      <c r="B14" s="137" t="s">
        <v>41</v>
      </c>
      <c r="C14" s="138"/>
      <c r="D14" s="152">
        <f>COUNT(Январь!G69:G97)</f>
        <v>29</v>
      </c>
      <c r="E14" s="153">
        <f>SUM(Январь!G69:G97)</f>
        <v>96.650000000197906</v>
      </c>
      <c r="F14" s="154">
        <f t="shared" si="7"/>
        <v>3.3327586206964797</v>
      </c>
      <c r="G14" s="152">
        <f>COUNT(Февраль!G52:G77)</f>
        <v>26</v>
      </c>
      <c r="H14" s="153">
        <f>SUM(Февраль!G52:G77)</f>
        <v>112.25000000005821</v>
      </c>
      <c r="I14" s="154">
        <f t="shared" si="8"/>
        <v>4.3173076923099307</v>
      </c>
      <c r="J14" s="175">
        <f>COUNT(Март!G50:G62)</f>
        <v>12</v>
      </c>
      <c r="K14" s="176">
        <f>SUM(Март!G50:G62)</f>
        <v>67.866666666290257</v>
      </c>
      <c r="L14" s="154">
        <f t="shared" si="2"/>
        <v>5.6555555555241881</v>
      </c>
      <c r="M14" s="166">
        <f t="shared" si="3"/>
        <v>67</v>
      </c>
      <c r="N14" s="167">
        <f t="shared" si="4"/>
        <v>276.76666666654637</v>
      </c>
      <c r="O14" s="168">
        <f t="shared" si="5"/>
        <v>4.1308457711424831</v>
      </c>
      <c r="P14" s="141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</row>
    <row r="15" spans="1:41" s="90" customFormat="1" ht="15" customHeight="1" x14ac:dyDescent="0.25">
      <c r="A15" s="9"/>
      <c r="B15" s="10" t="s">
        <v>8</v>
      </c>
      <c r="C15" s="11" t="s">
        <v>9</v>
      </c>
      <c r="D15" s="155">
        <f>COUNTIF(Январь!D69:D97, 0.4)</f>
        <v>1</v>
      </c>
      <c r="E15" s="156">
        <f>SUMIF(Январь!D69:D97, 0.4, Январь!G69:G97)</f>
        <v>2.2166666667326353</v>
      </c>
      <c r="F15" s="157">
        <f>E15/D15</f>
        <v>2.2166666667326353</v>
      </c>
      <c r="G15" s="155">
        <f>COUNTIF(Февраль!D52:D77, 0.4)</f>
        <v>3</v>
      </c>
      <c r="H15" s="156">
        <f>SUMIF(Февраль!D52:D77, 0.4, Февраль!G52:G77)</f>
        <v>23.383333333593328</v>
      </c>
      <c r="I15" s="157">
        <f t="shared" si="8"/>
        <v>7.7944444445311092</v>
      </c>
      <c r="J15" s="177">
        <f>COUNTIF(Март!D50:D62, 0.4)</f>
        <v>0</v>
      </c>
      <c r="K15" s="178">
        <f>SUMIF(Март!D50:D62, 0.4, Март!G50:G62)</f>
        <v>0</v>
      </c>
      <c r="L15" s="157"/>
      <c r="M15" s="169">
        <f t="shared" si="3"/>
        <v>4</v>
      </c>
      <c r="N15" s="170">
        <f t="shared" si="4"/>
        <v>25.600000000325963</v>
      </c>
      <c r="O15" s="171">
        <f t="shared" si="5"/>
        <v>6.4000000000814907</v>
      </c>
      <c r="P15" s="141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</row>
    <row r="16" spans="1:41" s="90" customFormat="1" ht="15.75" customHeight="1" thickBot="1" x14ac:dyDescent="0.3">
      <c r="A16" s="12"/>
      <c r="B16" s="13"/>
      <c r="C16" s="14" t="s">
        <v>10</v>
      </c>
      <c r="D16" s="158">
        <f>COUNTIF(Январь!D69:D97,10)+COUNTIF(Январь!D69:D97,6)+COUNTIF(Январь!D69:D97,35)+COUNTIF(Январь!D69:D97,110)</f>
        <v>28</v>
      </c>
      <c r="E16" s="159">
        <f>SUMIF(Январь!D69:D97, 10, Январь!G69:G97)+SUMIF(Январь!D69:D97, 6, Январь!G69:G97)+SUMIF(Январь!D69:D97, 35, Январь!G69:G97)+SUMIF(Январь!D69:D97, 110, Январь!G69:G97)</f>
        <v>94.433333333465271</v>
      </c>
      <c r="F16" s="160">
        <f t="shared" ref="F16" si="9">E16/D16</f>
        <v>3.3726190476237599</v>
      </c>
      <c r="G16" s="158">
        <f>COUNTIF(Февраль!D52:D77,10)+COUNTIF(Февраль!D52:D77,6)+COUNTIF(Февраль!D52:D77,35)+COUNTIF(Февраль!D52:D77,110)</f>
        <v>23</v>
      </c>
      <c r="H16" s="159">
        <f>SUMIF(Февраль!D52:D77, 10, Февраль!G52:G77)+SUMIF(Февраль!D52:D77, 6, Февраль!G52:G77)+SUMIF(Февраль!D52:D77, 35, Февраль!G52:G77)+SUMIF(Февраль!D52:D77, 110, Февраль!G52:G77)</f>
        <v>88.86666666646488</v>
      </c>
      <c r="I16" s="160">
        <f t="shared" si="8"/>
        <v>3.8637681159332558</v>
      </c>
      <c r="J16" s="179">
        <f>COUNTIF(Март!D50:D62,10)+COUNTIF(Март!D50:D62,6)+COUNTIF(Март!D50:D62,35)+COUNTIF(Март!D50:D62,110)</f>
        <v>12</v>
      </c>
      <c r="K16" s="180">
        <f>SUMIF(Март!D50:D62, 10, Март!G50:G62)+SUMIF(Март!D50:D62, 6, Март!G50:G62)+SUMIF(Март!D50:D62, 35, Март!G50:G62)+SUMIF(Март!D50:D62, 110, Март!G50:G62)</f>
        <v>67.866666666290257</v>
      </c>
      <c r="L16" s="160">
        <f t="shared" si="2"/>
        <v>5.6555555555241881</v>
      </c>
      <c r="M16" s="172">
        <f t="shared" si="3"/>
        <v>63</v>
      </c>
      <c r="N16" s="173">
        <f t="shared" si="4"/>
        <v>251.16666666622041</v>
      </c>
      <c r="O16" s="174">
        <f t="shared" si="5"/>
        <v>3.9867724867654033</v>
      </c>
      <c r="P16" s="141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</row>
    <row r="17" spans="1:41" s="28" customFormat="1" ht="15.75" x14ac:dyDescent="0.25">
      <c r="A17" s="25">
        <v>5</v>
      </c>
      <c r="B17" s="26" t="s">
        <v>44</v>
      </c>
      <c r="C17" s="27"/>
      <c r="D17" s="29">
        <f>COUNT(Январь!G98:G132)</f>
        <v>35</v>
      </c>
      <c r="E17" s="98">
        <f>SUM(Январь!G98:G132)</f>
        <v>82.366666666406672</v>
      </c>
      <c r="F17" s="30">
        <f t="shared" ref="F17:F19" si="10">E17/D17</f>
        <v>2.3533333333259048</v>
      </c>
      <c r="G17" s="29">
        <f>COUNT(Февраль!G78:G106)</f>
        <v>29</v>
      </c>
      <c r="H17" s="98">
        <f>SUM(Февраль!G78:G106)</f>
        <v>95.516666666488163</v>
      </c>
      <c r="I17" s="30">
        <f t="shared" ref="I17:I22" si="11">H17/G17</f>
        <v>3.2936781609133847</v>
      </c>
      <c r="J17" s="108">
        <f>COUNT(Март!G63:G92)</f>
        <v>30</v>
      </c>
      <c r="K17" s="105">
        <f>SUM(Март!G63:G92)</f>
        <v>83.900000000197906</v>
      </c>
      <c r="L17" s="30">
        <f t="shared" si="2"/>
        <v>2.7966666666732634</v>
      </c>
      <c r="M17" s="124">
        <f t="shared" si="3"/>
        <v>94</v>
      </c>
      <c r="N17" s="114">
        <f t="shared" si="4"/>
        <v>261.78333333309274</v>
      </c>
      <c r="O17" s="113">
        <f t="shared" si="5"/>
        <v>2.7849290780116247</v>
      </c>
      <c r="P17" s="141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</row>
    <row r="18" spans="1:41" s="28" customFormat="1" ht="15" customHeight="1" x14ac:dyDescent="0.25">
      <c r="A18" s="18"/>
      <c r="B18" s="19" t="s">
        <v>8</v>
      </c>
      <c r="C18" s="20" t="s">
        <v>9</v>
      </c>
      <c r="D18" s="31">
        <f>COUNTIF(Январь!D98:D132, 0.4)</f>
        <v>10</v>
      </c>
      <c r="E18" s="88">
        <f>SUMIF(Январь!D98:D132, 0.4, Январь!G98:G132)</f>
        <v>6.2000000003026798</v>
      </c>
      <c r="F18" s="32">
        <f t="shared" si="10"/>
        <v>0.62000000003026801</v>
      </c>
      <c r="G18" s="31">
        <f>COUNTIF(Февраль!D78:D106, 0.4)</f>
        <v>6</v>
      </c>
      <c r="H18" s="88">
        <f>SUMIF(Февраль!D78:D106, 0.4, Февраль!G78:G106)</f>
        <v>12.249999999767169</v>
      </c>
      <c r="I18" s="32">
        <f>H18/G18</f>
        <v>2.0416666666278616</v>
      </c>
      <c r="J18" s="109">
        <f>COUNTIF(Март!D63:D92, 0.4)</f>
        <v>10</v>
      </c>
      <c r="K18" s="106">
        <f>SUMIF(Март!D63:D92, 0.4, Март!G63:G92)</f>
        <v>15.800000000162981</v>
      </c>
      <c r="L18" s="32">
        <f>K18/J18</f>
        <v>1.5800000000162981</v>
      </c>
      <c r="M18" s="125">
        <f t="shared" si="3"/>
        <v>26</v>
      </c>
      <c r="N18" s="115">
        <f t="shared" si="4"/>
        <v>34.250000000232831</v>
      </c>
      <c r="O18" s="21">
        <f t="shared" si="5"/>
        <v>1.3173076923166473</v>
      </c>
      <c r="P18" s="141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</row>
    <row r="19" spans="1:41" s="28" customFormat="1" ht="15.75" customHeight="1" thickBot="1" x14ac:dyDescent="0.3">
      <c r="A19" s="22"/>
      <c r="B19" s="23"/>
      <c r="C19" s="24" t="s">
        <v>10</v>
      </c>
      <c r="D19" s="33">
        <f>COUNTIF(Январь!D98:D132,10)+COUNTIF(Январь!D98:D132,6)+COUNTIF(Январь!D98:D132,35)+COUNTIF(Январь!D98:D132,110)</f>
        <v>25</v>
      </c>
      <c r="E19" s="89">
        <f>SUMIF(Январь!D98:D132, 10, Январь!G98:G132)+SUMIF(Январь!D98:D132, 6, Январь!G98:G132)+SUMIF(Январь!D98:D132, 35, Январь!G98:G132)+SUMIF(Январь!D98:D132, 110, Январь!G98:G132)</f>
        <v>76.166666666103993</v>
      </c>
      <c r="F19" s="34">
        <f t="shared" si="10"/>
        <v>3.0466666666441595</v>
      </c>
      <c r="G19" s="33">
        <f>COUNTIF(Февраль!D78:D106,10)+COUNTIF(Февраль!D78:D106,6)+COUNTIF(Февраль!D78:D106,35)+COUNTIF(Февраль!D78:D106,110)</f>
        <v>23</v>
      </c>
      <c r="H19" s="89">
        <f>SUMIF(Февраль!D78:D106, 10, Февраль!G78:G106)+SUMIF(Февраль!D78:D106, 6, Февраль!G78:G106)+SUMIF(Февраль!D78:D106, 35, Февраль!G78:G106)+SUMIF(Февраль!D78:D106, 110, Февраль!G78:G106)</f>
        <v>83.266666666720994</v>
      </c>
      <c r="I19" s="34">
        <f t="shared" si="11"/>
        <v>3.6202898550748257</v>
      </c>
      <c r="J19" s="110">
        <f>COUNTIF(Март!D63:D92,10)+COUNTIF(Март!D63:D92,6)+COUNTIF(Март!D63:D92,35)+COUNTIF(Март!D63:D92,110)</f>
        <v>20</v>
      </c>
      <c r="K19" s="107">
        <f>SUMIF(Март!D63:D92, 10, Март!G63:G92)+SUMIF(Март!D63:D92, 6, Март!G63:G92)+SUMIF(Март!D63:D92, 35, Март!G63:G92)+SUMIF(Март!D63:D92, 110, Март!G63:G92)</f>
        <v>68.100000000034925</v>
      </c>
      <c r="L19" s="34">
        <f t="shared" si="2"/>
        <v>3.4050000000017464</v>
      </c>
      <c r="M19" s="132">
        <f t="shared" si="3"/>
        <v>68</v>
      </c>
      <c r="N19" s="122">
        <f t="shared" si="4"/>
        <v>227.53333333285991</v>
      </c>
      <c r="O19" s="123">
        <f t="shared" si="5"/>
        <v>3.3460784313655871</v>
      </c>
      <c r="P19" s="141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</row>
    <row r="20" spans="1:41" s="90" customFormat="1" ht="15.75" x14ac:dyDescent="0.25">
      <c r="A20" s="136">
        <v>6</v>
      </c>
      <c r="B20" s="137" t="s">
        <v>42</v>
      </c>
      <c r="C20" s="138"/>
      <c r="D20" s="152">
        <f>COUNT(Январь!G133:G149)</f>
        <v>17</v>
      </c>
      <c r="E20" s="153">
        <f>SUM(Январь!G133:G149)</f>
        <v>51.283333333558403</v>
      </c>
      <c r="F20" s="154">
        <f t="shared" ref="F20" si="12">E20/D20</f>
        <v>3.0166666666799062</v>
      </c>
      <c r="G20" s="152">
        <f>COUNT(Февраль!G107:G133)</f>
        <v>27</v>
      </c>
      <c r="H20" s="153">
        <f>SUM(Февраль!G107:G133)</f>
        <v>65.133333333651535</v>
      </c>
      <c r="I20" s="154">
        <f t="shared" si="11"/>
        <v>2.4123456790241309</v>
      </c>
      <c r="J20" s="175">
        <f>COUNT(Март!G93:G106)</f>
        <v>13</v>
      </c>
      <c r="K20" s="176">
        <f>SUM(Март!G93:G106)</f>
        <v>25.100000000093132</v>
      </c>
      <c r="L20" s="154">
        <f t="shared" si="2"/>
        <v>1.9307692307763948</v>
      </c>
      <c r="M20" s="166">
        <f t="shared" si="3"/>
        <v>57</v>
      </c>
      <c r="N20" s="167">
        <f t="shared" si="4"/>
        <v>141.51666666730307</v>
      </c>
      <c r="O20" s="168">
        <f t="shared" si="5"/>
        <v>2.4827485380228609</v>
      </c>
      <c r="P20" s="141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</row>
    <row r="21" spans="1:41" s="90" customFormat="1" ht="15" customHeight="1" x14ac:dyDescent="0.25">
      <c r="A21" s="9"/>
      <c r="B21" s="10" t="s">
        <v>8</v>
      </c>
      <c r="C21" s="11" t="s">
        <v>9</v>
      </c>
      <c r="D21" s="155">
        <f>COUNTIF(Январь!D133:D149, 0.4)</f>
        <v>0</v>
      </c>
      <c r="E21" s="156">
        <f>SUMIF(Январь!D133:D149, 0.4, Январь!G133:G149)</f>
        <v>0</v>
      </c>
      <c r="F21" s="157"/>
      <c r="G21" s="155">
        <f>COUNTIF(Февраль!D107:D133, 0.4)</f>
        <v>2</v>
      </c>
      <c r="H21" s="156">
        <f>SUMIF(Февраль!D107:D133, 0.4, Февраль!G107:G133)</f>
        <v>8.3166666667093523</v>
      </c>
      <c r="I21" s="157">
        <f>H21/G21</f>
        <v>4.1583333333546761</v>
      </c>
      <c r="J21" s="177">
        <f>COUNTIF(Март!D93:D106, 0.4)</f>
        <v>0</v>
      </c>
      <c r="K21" s="178">
        <f>SUMIF(Март!D93:D106, 0.4, Март!G93:G106)</f>
        <v>0</v>
      </c>
      <c r="L21" s="157"/>
      <c r="M21" s="169">
        <f t="shared" si="3"/>
        <v>2</v>
      </c>
      <c r="N21" s="170">
        <f t="shared" si="4"/>
        <v>8.3166666667093523</v>
      </c>
      <c r="O21" s="171">
        <f>N21/M21</f>
        <v>4.1583333333546761</v>
      </c>
      <c r="P21" s="141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</row>
    <row r="22" spans="1:41" s="90" customFormat="1" ht="15.75" customHeight="1" thickBot="1" x14ac:dyDescent="0.3">
      <c r="A22" s="12"/>
      <c r="B22" s="13"/>
      <c r="C22" s="14" t="s">
        <v>10</v>
      </c>
      <c r="D22" s="158">
        <f>COUNTIF(Январь!D133:D149,10)+COUNTIF(Январь!D133:D149,6)+COUNTIF(Январь!D133:D149,35)+COUNTIF(Январь!D133:D149,110)</f>
        <v>17</v>
      </c>
      <c r="E22" s="159">
        <f>SUMIF(Январь!D133:D149, 10, Январь!G133:G149)+SUMIF(Январь!D133:D149, 6, Январь!G133:G149)+SUMIF(Январь!D133:D149, 35, Январь!G133:G149)+SUMIF(Январь!D133:D149, 110, Январь!G133:G149)</f>
        <v>51.283333333558403</v>
      </c>
      <c r="F22" s="160">
        <f t="shared" ref="F22" si="13">E22/D22</f>
        <v>3.0166666666799062</v>
      </c>
      <c r="G22" s="158">
        <f>COUNTIF(Февраль!D107:D133,10)+COUNTIF(Февраль!D107:D133,6)+COUNTIF(Февраль!D107:D133,35)+COUNTIF(Февраль!D107:D133,110)</f>
        <v>25</v>
      </c>
      <c r="H22" s="159">
        <f>SUMIF(Февраль!D107:D133, 10, Февраль!G107:G133)+SUMIF(Февраль!D107:D133, 6, Февраль!G107:G133)+SUMIF(Февраль!D107:D133, 35, Февраль!G107:G133)+SUMIF(Февраль!D107:D133, 110, Февраль!G107:G133)</f>
        <v>56.816666666942183</v>
      </c>
      <c r="I22" s="160">
        <f t="shared" si="11"/>
        <v>2.2726666666776874</v>
      </c>
      <c r="J22" s="179">
        <f>COUNTIF(Март!D93:D106,10)+COUNTIF(Март!D93:D106,6)+COUNTIF(Март!D93:D106,35)+COUNTIF(Март!D93:D106,110)</f>
        <v>13</v>
      </c>
      <c r="K22" s="180">
        <f>SUMIF(Март!D93:D106, 10, Март!G93:G106)+SUMIF(Март!D93:D106, 6, Март!G93:G106)+SUMIF(Март!D93:D106, 35, Март!G93:G106)+SUMIF(Март!D93:D106, 110, Март!G93:G106)</f>
        <v>25.100000000093132</v>
      </c>
      <c r="L22" s="160">
        <f t="shared" si="2"/>
        <v>1.9307692307763948</v>
      </c>
      <c r="M22" s="172">
        <f t="shared" si="3"/>
        <v>55</v>
      </c>
      <c r="N22" s="173">
        <f t="shared" si="4"/>
        <v>133.20000000059372</v>
      </c>
      <c r="O22" s="174">
        <f t="shared" si="5"/>
        <v>2.4218181818289768</v>
      </c>
      <c r="P22" s="141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</row>
    <row r="23" spans="1:41" ht="28.5" x14ac:dyDescent="0.25">
      <c r="A23" s="133"/>
      <c r="B23" s="134" t="s">
        <v>11</v>
      </c>
      <c r="C23" s="135"/>
      <c r="D23" s="142">
        <f t="shared" ref="D23:E25" si="14">D5+D8+D11+D14+D17+D20</f>
        <v>146</v>
      </c>
      <c r="E23" s="143">
        <f>E5+E8+E11+E14+E17+E20</f>
        <v>409.14999999885913</v>
      </c>
      <c r="F23" s="148">
        <f>E23/D23</f>
        <v>2.8023972602661584</v>
      </c>
      <c r="G23" s="142">
        <f t="shared" ref="G23" si="15">G5+G8+G11+G14+G17+G20</f>
        <v>129</v>
      </c>
      <c r="H23" s="143">
        <f>H5+H8+H11+H14+H17+H20</f>
        <v>385.21666666731471</v>
      </c>
      <c r="I23" s="148">
        <f>H23/G23</f>
        <v>2.9861757105993387</v>
      </c>
      <c r="J23" s="142">
        <f t="shared" ref="J23" si="16">J5+J8+J11+J14+J17+J20</f>
        <v>99</v>
      </c>
      <c r="K23" s="143">
        <f>K5+K8+K11+K14+K17+K20</f>
        <v>282.61666666623205</v>
      </c>
      <c r="L23" s="148">
        <f t="shared" si="2"/>
        <v>2.8547138047094145</v>
      </c>
      <c r="M23" s="142">
        <f>M5+M8+M11+M14+M17+M20</f>
        <v>374</v>
      </c>
      <c r="N23" s="143">
        <f>N5+N8+N11+N14+N17+N20</f>
        <v>1076.9833333324059</v>
      </c>
      <c r="O23" s="148">
        <f t="shared" si="5"/>
        <v>2.8796345811026893</v>
      </c>
      <c r="P23" s="141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</row>
    <row r="24" spans="1:41" ht="15" customHeight="1" x14ac:dyDescent="0.25">
      <c r="A24" s="37"/>
      <c r="B24" s="38" t="s">
        <v>8</v>
      </c>
      <c r="C24" s="94" t="s">
        <v>9</v>
      </c>
      <c r="D24" s="144">
        <f t="shared" si="14"/>
        <v>11</v>
      </c>
      <c r="E24" s="145">
        <f t="shared" si="14"/>
        <v>8.4166666670353152</v>
      </c>
      <c r="F24" s="39">
        <f t="shared" ref="F24:F25" si="17">E24/D24</f>
        <v>0.76515151518502866</v>
      </c>
      <c r="G24" s="144">
        <f t="shared" ref="G24:H24" si="18">G6+G9+G12+G15+G18+G21</f>
        <v>17</v>
      </c>
      <c r="H24" s="145">
        <f t="shared" si="18"/>
        <v>56.25</v>
      </c>
      <c r="I24" s="39">
        <f t="shared" ref="I24:I25" si="19">H24/G24</f>
        <v>3.3088235294117645</v>
      </c>
      <c r="J24" s="144">
        <f t="shared" ref="J24:K24" si="20">J6+J9+J12+J15+J18+J21</f>
        <v>13</v>
      </c>
      <c r="K24" s="145">
        <f t="shared" si="20"/>
        <v>20.299999999988358</v>
      </c>
      <c r="L24" s="39">
        <f t="shared" ref="L24:L25" si="21">K24/J24</f>
        <v>1.561538461537566</v>
      </c>
      <c r="M24" s="144">
        <f t="shared" ref="M24:N24" si="22">M6+M9+M12+M15+M18+M21</f>
        <v>41</v>
      </c>
      <c r="N24" s="145">
        <f t="shared" si="22"/>
        <v>84.966666667023674</v>
      </c>
      <c r="O24" s="39">
        <f t="shared" ref="O24:O25" si="23">N24/M24</f>
        <v>2.0723577235859434</v>
      </c>
    </row>
    <row r="25" spans="1:41" ht="15.75" customHeight="1" thickBot="1" x14ac:dyDescent="0.3">
      <c r="A25" s="40"/>
      <c r="B25" s="41"/>
      <c r="C25" s="95" t="s">
        <v>10</v>
      </c>
      <c r="D25" s="146">
        <f t="shared" si="14"/>
        <v>135</v>
      </c>
      <c r="E25" s="147">
        <f t="shared" si="14"/>
        <v>400.73333333182381</v>
      </c>
      <c r="F25" s="42">
        <f t="shared" si="17"/>
        <v>2.9683950617172132</v>
      </c>
      <c r="G25" s="146">
        <f t="shared" ref="G25:H25" si="24">G7+G10+G13+G16+G19+G22</f>
        <v>112</v>
      </c>
      <c r="H25" s="147">
        <f t="shared" si="24"/>
        <v>328.96666666731471</v>
      </c>
      <c r="I25" s="42">
        <f t="shared" si="19"/>
        <v>2.9372023809581669</v>
      </c>
      <c r="J25" s="146">
        <f t="shared" ref="J25:K25" si="25">J7+J10+J13+J16+J19+J22</f>
        <v>86</v>
      </c>
      <c r="K25" s="147">
        <f t="shared" si="25"/>
        <v>262.31666666624369</v>
      </c>
      <c r="L25" s="42">
        <f t="shared" si="21"/>
        <v>3.0501937984446941</v>
      </c>
      <c r="M25" s="146">
        <f t="shared" ref="M25:N25" si="26">M7+M10+M13+M16+M19+M22</f>
        <v>333</v>
      </c>
      <c r="N25" s="147">
        <f t="shared" si="26"/>
        <v>992.01666666538222</v>
      </c>
      <c r="O25" s="42">
        <f t="shared" si="23"/>
        <v>2.9790290290251717</v>
      </c>
    </row>
    <row r="28" spans="1:41" x14ac:dyDescent="0.25">
      <c r="D28" s="28"/>
      <c r="E28" s="28"/>
      <c r="F28" s="28"/>
      <c r="G28" s="28"/>
      <c r="H28" s="28"/>
      <c r="I28" s="28"/>
      <c r="J28" s="28"/>
      <c r="K28" s="28"/>
      <c r="L28" s="28"/>
    </row>
    <row r="29" spans="1:41" x14ac:dyDescent="0.25">
      <c r="D29" s="28"/>
      <c r="E29" s="28"/>
      <c r="F29" s="28"/>
      <c r="G29" s="28"/>
      <c r="H29" s="28"/>
      <c r="I29" s="28"/>
      <c r="J29" s="28"/>
      <c r="K29" s="28"/>
      <c r="L29" s="28"/>
    </row>
    <row r="30" spans="1:41" x14ac:dyDescent="0.25">
      <c r="D30" s="28"/>
      <c r="E30" s="28"/>
      <c r="F30" s="28"/>
      <c r="G30" s="28"/>
      <c r="H30" s="28"/>
      <c r="I30" s="28"/>
      <c r="J30" s="28"/>
      <c r="K30" s="28"/>
      <c r="L30" s="28"/>
    </row>
    <row r="31" spans="1:41" x14ac:dyDescent="0.25">
      <c r="D31" s="28"/>
      <c r="E31" s="28"/>
      <c r="F31" s="28"/>
      <c r="G31" s="28"/>
      <c r="H31" s="28"/>
      <c r="I31" s="28"/>
      <c r="J31" s="28"/>
      <c r="K31" s="28"/>
      <c r="L31" s="28"/>
    </row>
    <row r="32" spans="1:41" x14ac:dyDescent="0.25">
      <c r="D32" s="28"/>
      <c r="E32" s="28"/>
      <c r="F32" s="28"/>
      <c r="G32" s="28"/>
      <c r="H32" s="28"/>
      <c r="I32" s="28"/>
      <c r="J32" s="28"/>
      <c r="K32" s="28"/>
      <c r="L32" s="28"/>
    </row>
    <row r="33" spans="4:12" x14ac:dyDescent="0.25">
      <c r="D33" s="28"/>
      <c r="E33" s="28"/>
      <c r="F33" s="28"/>
      <c r="G33" s="28"/>
      <c r="H33" s="28"/>
      <c r="I33" s="28"/>
      <c r="J33" s="28"/>
      <c r="K33" s="28"/>
      <c r="L33" s="28"/>
    </row>
    <row r="34" spans="4:12" x14ac:dyDescent="0.25">
      <c r="D34" s="28"/>
      <c r="E34" s="28"/>
      <c r="F34" s="28"/>
      <c r="G34" s="28"/>
      <c r="H34" s="28"/>
      <c r="I34" s="28"/>
      <c r="J34" s="28"/>
      <c r="K34" s="28"/>
      <c r="L34" s="28"/>
    </row>
    <row r="35" spans="4:12" x14ac:dyDescent="0.25">
      <c r="D35" s="28"/>
      <c r="E35" s="28"/>
      <c r="F35" s="28"/>
      <c r="G35" s="28"/>
      <c r="H35" s="28"/>
      <c r="I35" s="28"/>
      <c r="J35" s="28"/>
      <c r="K35" s="28"/>
      <c r="L35" s="28"/>
    </row>
    <row r="36" spans="4:12" x14ac:dyDescent="0.25">
      <c r="D36" s="28"/>
      <c r="E36" s="28"/>
      <c r="F36" s="28"/>
      <c r="G36" s="28"/>
      <c r="H36" s="28"/>
      <c r="I36" s="28"/>
      <c r="J36" s="28"/>
      <c r="K36" s="28"/>
      <c r="L36" s="28"/>
    </row>
    <row r="37" spans="4:12" x14ac:dyDescent="0.25">
      <c r="D37" s="28"/>
      <c r="E37" s="28"/>
      <c r="F37" s="28"/>
      <c r="G37" s="28"/>
      <c r="H37" s="28"/>
      <c r="I37" s="28"/>
      <c r="J37" s="28"/>
      <c r="K37" s="28"/>
      <c r="L37" s="28"/>
    </row>
    <row r="38" spans="4:12" x14ac:dyDescent="0.25">
      <c r="J38" s="28"/>
      <c r="K38" s="28"/>
      <c r="L38" s="28"/>
    </row>
  </sheetData>
  <mergeCells count="8">
    <mergeCell ref="M2:O3"/>
    <mergeCell ref="B1:J1"/>
    <mergeCell ref="A2:A4"/>
    <mergeCell ref="B2:B4"/>
    <mergeCell ref="C2:C4"/>
    <mergeCell ref="D2:F3"/>
    <mergeCell ref="G2:I3"/>
    <mergeCell ref="J2:L3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8"/>
  <sheetViews>
    <sheetView zoomScaleNormal="100" workbookViewId="0">
      <selection activeCell="C28" sqref="C28"/>
    </sheetView>
  </sheetViews>
  <sheetFormatPr defaultRowHeight="15" x14ac:dyDescent="0.25"/>
  <cols>
    <col min="2" max="2" width="21.5703125" customWidth="1"/>
    <col min="3" max="3" width="11.7109375" customWidth="1"/>
    <col min="4" max="10" width="9.140625" customWidth="1"/>
    <col min="13" max="13" width="9.28515625" bestFit="1" customWidth="1"/>
    <col min="14" max="14" width="9.85546875" bestFit="1" customWidth="1"/>
    <col min="15" max="15" width="9.7109375" bestFit="1" customWidth="1"/>
    <col min="213" max="213" width="21.5703125" customWidth="1"/>
    <col min="214" max="214" width="11" customWidth="1"/>
    <col min="215" max="215" width="10" customWidth="1"/>
    <col min="216" max="250" width="9.140625" customWidth="1"/>
    <col min="251" max="251" width="9.7109375" customWidth="1"/>
    <col min="252" max="265" width="9.140625" customWidth="1"/>
    <col min="469" max="469" width="21.5703125" customWidth="1"/>
    <col min="470" max="470" width="11" customWidth="1"/>
    <col min="471" max="471" width="10" customWidth="1"/>
    <col min="472" max="506" width="9.140625" customWidth="1"/>
    <col min="507" max="507" width="9.7109375" customWidth="1"/>
    <col min="508" max="521" width="9.140625" customWidth="1"/>
    <col min="725" max="725" width="21.5703125" customWidth="1"/>
    <col min="726" max="726" width="11" customWidth="1"/>
    <col min="727" max="727" width="10" customWidth="1"/>
    <col min="728" max="762" width="9.140625" customWidth="1"/>
    <col min="763" max="763" width="9.7109375" customWidth="1"/>
    <col min="764" max="777" width="9.140625" customWidth="1"/>
    <col min="981" max="981" width="21.5703125" customWidth="1"/>
    <col min="982" max="982" width="11" customWidth="1"/>
    <col min="983" max="983" width="10" customWidth="1"/>
    <col min="984" max="1018" width="9.140625" customWidth="1"/>
    <col min="1019" max="1019" width="9.7109375" customWidth="1"/>
    <col min="1020" max="1033" width="9.140625" customWidth="1"/>
    <col min="1237" max="1237" width="21.5703125" customWidth="1"/>
    <col min="1238" max="1238" width="11" customWidth="1"/>
    <col min="1239" max="1239" width="10" customWidth="1"/>
    <col min="1240" max="1274" width="9.140625" customWidth="1"/>
    <col min="1275" max="1275" width="9.7109375" customWidth="1"/>
    <col min="1276" max="1289" width="9.140625" customWidth="1"/>
    <col min="1493" max="1493" width="21.5703125" customWidth="1"/>
    <col min="1494" max="1494" width="11" customWidth="1"/>
    <col min="1495" max="1495" width="10" customWidth="1"/>
    <col min="1496" max="1530" width="9.140625" customWidth="1"/>
    <col min="1531" max="1531" width="9.7109375" customWidth="1"/>
    <col min="1532" max="1545" width="9.140625" customWidth="1"/>
    <col min="1749" max="1749" width="21.5703125" customWidth="1"/>
    <col min="1750" max="1750" width="11" customWidth="1"/>
    <col min="1751" max="1751" width="10" customWidth="1"/>
    <col min="1752" max="1786" width="9.140625" customWidth="1"/>
    <col min="1787" max="1787" width="9.7109375" customWidth="1"/>
    <col min="1788" max="1801" width="9.140625" customWidth="1"/>
    <col min="2005" max="2005" width="21.5703125" customWidth="1"/>
    <col min="2006" max="2006" width="11" customWidth="1"/>
    <col min="2007" max="2007" width="10" customWidth="1"/>
    <col min="2008" max="2042" width="9.140625" customWidth="1"/>
    <col min="2043" max="2043" width="9.7109375" customWidth="1"/>
    <col min="2044" max="2057" width="9.140625" customWidth="1"/>
    <col min="2261" max="2261" width="21.5703125" customWidth="1"/>
    <col min="2262" max="2262" width="11" customWidth="1"/>
    <col min="2263" max="2263" width="10" customWidth="1"/>
    <col min="2264" max="2298" width="9.140625" customWidth="1"/>
    <col min="2299" max="2299" width="9.7109375" customWidth="1"/>
    <col min="2300" max="2313" width="9.140625" customWidth="1"/>
    <col min="2517" max="2517" width="21.5703125" customWidth="1"/>
    <col min="2518" max="2518" width="11" customWidth="1"/>
    <col min="2519" max="2519" width="10" customWidth="1"/>
    <col min="2520" max="2554" width="9.140625" customWidth="1"/>
    <col min="2555" max="2555" width="9.7109375" customWidth="1"/>
    <col min="2556" max="2569" width="9.140625" customWidth="1"/>
    <col min="2773" max="2773" width="21.5703125" customWidth="1"/>
    <col min="2774" max="2774" width="11" customWidth="1"/>
    <col min="2775" max="2775" width="10" customWidth="1"/>
    <col min="2776" max="2810" width="9.140625" customWidth="1"/>
    <col min="2811" max="2811" width="9.7109375" customWidth="1"/>
    <col min="2812" max="2825" width="9.140625" customWidth="1"/>
    <col min="3029" max="3029" width="21.5703125" customWidth="1"/>
    <col min="3030" max="3030" width="11" customWidth="1"/>
    <col min="3031" max="3031" width="10" customWidth="1"/>
    <col min="3032" max="3066" width="9.140625" customWidth="1"/>
    <col min="3067" max="3067" width="9.7109375" customWidth="1"/>
    <col min="3068" max="3081" width="9.140625" customWidth="1"/>
    <col min="3285" max="3285" width="21.5703125" customWidth="1"/>
    <col min="3286" max="3286" width="11" customWidth="1"/>
    <col min="3287" max="3287" width="10" customWidth="1"/>
    <col min="3288" max="3322" width="9.140625" customWidth="1"/>
    <col min="3323" max="3323" width="9.7109375" customWidth="1"/>
    <col min="3324" max="3337" width="9.140625" customWidth="1"/>
    <col min="3541" max="3541" width="21.5703125" customWidth="1"/>
    <col min="3542" max="3542" width="11" customWidth="1"/>
    <col min="3543" max="3543" width="10" customWidth="1"/>
    <col min="3544" max="3578" width="9.140625" customWidth="1"/>
    <col min="3579" max="3579" width="9.7109375" customWidth="1"/>
    <col min="3580" max="3593" width="9.140625" customWidth="1"/>
    <col min="3797" max="3797" width="21.5703125" customWidth="1"/>
    <col min="3798" max="3798" width="11" customWidth="1"/>
    <col min="3799" max="3799" width="10" customWidth="1"/>
    <col min="3800" max="3834" width="9.140625" customWidth="1"/>
    <col min="3835" max="3835" width="9.7109375" customWidth="1"/>
    <col min="3836" max="3849" width="9.140625" customWidth="1"/>
    <col min="4053" max="4053" width="21.5703125" customWidth="1"/>
    <col min="4054" max="4054" width="11" customWidth="1"/>
    <col min="4055" max="4055" width="10" customWidth="1"/>
    <col min="4056" max="4090" width="9.140625" customWidth="1"/>
    <col min="4091" max="4091" width="9.7109375" customWidth="1"/>
    <col min="4092" max="4105" width="9.140625" customWidth="1"/>
    <col min="4309" max="4309" width="21.5703125" customWidth="1"/>
    <col min="4310" max="4310" width="11" customWidth="1"/>
    <col min="4311" max="4311" width="10" customWidth="1"/>
    <col min="4312" max="4346" width="9.140625" customWidth="1"/>
    <col min="4347" max="4347" width="9.7109375" customWidth="1"/>
    <col min="4348" max="4361" width="9.140625" customWidth="1"/>
    <col min="4565" max="4565" width="21.5703125" customWidth="1"/>
    <col min="4566" max="4566" width="11" customWidth="1"/>
    <col min="4567" max="4567" width="10" customWidth="1"/>
    <col min="4568" max="4602" width="9.140625" customWidth="1"/>
    <col min="4603" max="4603" width="9.7109375" customWidth="1"/>
    <col min="4604" max="4617" width="9.140625" customWidth="1"/>
    <col min="4821" max="4821" width="21.5703125" customWidth="1"/>
    <col min="4822" max="4822" width="11" customWidth="1"/>
    <col min="4823" max="4823" width="10" customWidth="1"/>
    <col min="4824" max="4858" width="9.140625" customWidth="1"/>
    <col min="4859" max="4859" width="9.7109375" customWidth="1"/>
    <col min="4860" max="4873" width="9.140625" customWidth="1"/>
    <col min="5077" max="5077" width="21.5703125" customWidth="1"/>
    <col min="5078" max="5078" width="11" customWidth="1"/>
    <col min="5079" max="5079" width="10" customWidth="1"/>
    <col min="5080" max="5114" width="9.140625" customWidth="1"/>
    <col min="5115" max="5115" width="9.7109375" customWidth="1"/>
    <col min="5116" max="5129" width="9.140625" customWidth="1"/>
    <col min="5333" max="5333" width="21.5703125" customWidth="1"/>
    <col min="5334" max="5334" width="11" customWidth="1"/>
    <col min="5335" max="5335" width="10" customWidth="1"/>
    <col min="5336" max="5370" width="9.140625" customWidth="1"/>
    <col min="5371" max="5371" width="9.7109375" customWidth="1"/>
    <col min="5372" max="5385" width="9.140625" customWidth="1"/>
    <col min="5589" max="5589" width="21.5703125" customWidth="1"/>
    <col min="5590" max="5590" width="11" customWidth="1"/>
    <col min="5591" max="5591" width="10" customWidth="1"/>
    <col min="5592" max="5626" width="9.140625" customWidth="1"/>
    <col min="5627" max="5627" width="9.7109375" customWidth="1"/>
    <col min="5628" max="5641" width="9.140625" customWidth="1"/>
    <col min="5845" max="5845" width="21.5703125" customWidth="1"/>
    <col min="5846" max="5846" width="11" customWidth="1"/>
    <col min="5847" max="5847" width="10" customWidth="1"/>
    <col min="5848" max="5882" width="9.140625" customWidth="1"/>
    <col min="5883" max="5883" width="9.7109375" customWidth="1"/>
    <col min="5884" max="5897" width="9.140625" customWidth="1"/>
    <col min="6101" max="6101" width="21.5703125" customWidth="1"/>
    <col min="6102" max="6102" width="11" customWidth="1"/>
    <col min="6103" max="6103" width="10" customWidth="1"/>
    <col min="6104" max="6138" width="9.140625" customWidth="1"/>
    <col min="6139" max="6139" width="9.7109375" customWidth="1"/>
    <col min="6140" max="6153" width="9.140625" customWidth="1"/>
    <col min="6357" max="6357" width="21.5703125" customWidth="1"/>
    <col min="6358" max="6358" width="11" customWidth="1"/>
    <col min="6359" max="6359" width="10" customWidth="1"/>
    <col min="6360" max="6394" width="9.140625" customWidth="1"/>
    <col min="6395" max="6395" width="9.7109375" customWidth="1"/>
    <col min="6396" max="6409" width="9.140625" customWidth="1"/>
    <col min="6613" max="6613" width="21.5703125" customWidth="1"/>
    <col min="6614" max="6614" width="11" customWidth="1"/>
    <col min="6615" max="6615" width="10" customWidth="1"/>
    <col min="6616" max="6650" width="9.140625" customWidth="1"/>
    <col min="6651" max="6651" width="9.7109375" customWidth="1"/>
    <col min="6652" max="6665" width="9.140625" customWidth="1"/>
    <col min="6869" max="6869" width="21.5703125" customWidth="1"/>
    <col min="6870" max="6870" width="11" customWidth="1"/>
    <col min="6871" max="6871" width="10" customWidth="1"/>
    <col min="6872" max="6906" width="9.140625" customWidth="1"/>
    <col min="6907" max="6907" width="9.7109375" customWidth="1"/>
    <col min="6908" max="6921" width="9.140625" customWidth="1"/>
    <col min="7125" max="7125" width="21.5703125" customWidth="1"/>
    <col min="7126" max="7126" width="11" customWidth="1"/>
    <col min="7127" max="7127" width="10" customWidth="1"/>
    <col min="7128" max="7162" width="9.140625" customWidth="1"/>
    <col min="7163" max="7163" width="9.7109375" customWidth="1"/>
    <col min="7164" max="7177" width="9.140625" customWidth="1"/>
    <col min="7381" max="7381" width="21.5703125" customWidth="1"/>
    <col min="7382" max="7382" width="11" customWidth="1"/>
    <col min="7383" max="7383" width="10" customWidth="1"/>
    <col min="7384" max="7418" width="9.140625" customWidth="1"/>
    <col min="7419" max="7419" width="9.7109375" customWidth="1"/>
    <col min="7420" max="7433" width="9.140625" customWidth="1"/>
    <col min="7637" max="7637" width="21.5703125" customWidth="1"/>
    <col min="7638" max="7638" width="11" customWidth="1"/>
    <col min="7639" max="7639" width="10" customWidth="1"/>
    <col min="7640" max="7674" width="9.140625" customWidth="1"/>
    <col min="7675" max="7675" width="9.7109375" customWidth="1"/>
    <col min="7676" max="7689" width="9.140625" customWidth="1"/>
    <col min="7893" max="7893" width="21.5703125" customWidth="1"/>
    <col min="7894" max="7894" width="11" customWidth="1"/>
    <col min="7895" max="7895" width="10" customWidth="1"/>
    <col min="7896" max="7930" width="9.140625" customWidth="1"/>
    <col min="7931" max="7931" width="9.7109375" customWidth="1"/>
    <col min="7932" max="7945" width="9.140625" customWidth="1"/>
    <col min="8149" max="8149" width="21.5703125" customWidth="1"/>
    <col min="8150" max="8150" width="11" customWidth="1"/>
    <col min="8151" max="8151" width="10" customWidth="1"/>
    <col min="8152" max="8186" width="9.140625" customWidth="1"/>
    <col min="8187" max="8187" width="9.7109375" customWidth="1"/>
    <col min="8188" max="8201" width="9.140625" customWidth="1"/>
    <col min="8405" max="8405" width="21.5703125" customWidth="1"/>
    <col min="8406" max="8406" width="11" customWidth="1"/>
    <col min="8407" max="8407" width="10" customWidth="1"/>
    <col min="8408" max="8442" width="9.140625" customWidth="1"/>
    <col min="8443" max="8443" width="9.7109375" customWidth="1"/>
    <col min="8444" max="8457" width="9.140625" customWidth="1"/>
    <col min="8661" max="8661" width="21.5703125" customWidth="1"/>
    <col min="8662" max="8662" width="11" customWidth="1"/>
    <col min="8663" max="8663" width="10" customWidth="1"/>
    <col min="8664" max="8698" width="9.140625" customWidth="1"/>
    <col min="8699" max="8699" width="9.7109375" customWidth="1"/>
    <col min="8700" max="8713" width="9.140625" customWidth="1"/>
    <col min="8917" max="8917" width="21.5703125" customWidth="1"/>
    <col min="8918" max="8918" width="11" customWidth="1"/>
    <col min="8919" max="8919" width="10" customWidth="1"/>
    <col min="8920" max="8954" width="9.140625" customWidth="1"/>
    <col min="8955" max="8955" width="9.7109375" customWidth="1"/>
    <col min="8956" max="8969" width="9.140625" customWidth="1"/>
    <col min="9173" max="9173" width="21.5703125" customWidth="1"/>
    <col min="9174" max="9174" width="11" customWidth="1"/>
    <col min="9175" max="9175" width="10" customWidth="1"/>
    <col min="9176" max="9210" width="9.140625" customWidth="1"/>
    <col min="9211" max="9211" width="9.7109375" customWidth="1"/>
    <col min="9212" max="9225" width="9.140625" customWidth="1"/>
    <col min="9429" max="9429" width="21.5703125" customWidth="1"/>
    <col min="9430" max="9430" width="11" customWidth="1"/>
    <col min="9431" max="9431" width="10" customWidth="1"/>
    <col min="9432" max="9466" width="9.140625" customWidth="1"/>
    <col min="9467" max="9467" width="9.7109375" customWidth="1"/>
    <col min="9468" max="9481" width="9.140625" customWidth="1"/>
    <col min="9685" max="9685" width="21.5703125" customWidth="1"/>
    <col min="9686" max="9686" width="11" customWidth="1"/>
    <col min="9687" max="9687" width="10" customWidth="1"/>
    <col min="9688" max="9722" width="9.140625" customWidth="1"/>
    <col min="9723" max="9723" width="9.7109375" customWidth="1"/>
    <col min="9724" max="9737" width="9.140625" customWidth="1"/>
    <col min="9941" max="9941" width="21.5703125" customWidth="1"/>
    <col min="9942" max="9942" width="11" customWidth="1"/>
    <col min="9943" max="9943" width="10" customWidth="1"/>
    <col min="9944" max="9978" width="9.140625" customWidth="1"/>
    <col min="9979" max="9979" width="9.7109375" customWidth="1"/>
    <col min="9980" max="9993" width="9.140625" customWidth="1"/>
    <col min="10197" max="10197" width="21.5703125" customWidth="1"/>
    <col min="10198" max="10198" width="11" customWidth="1"/>
    <col min="10199" max="10199" width="10" customWidth="1"/>
    <col min="10200" max="10234" width="9.140625" customWidth="1"/>
    <col min="10235" max="10235" width="9.7109375" customWidth="1"/>
    <col min="10236" max="10249" width="9.140625" customWidth="1"/>
    <col min="10453" max="10453" width="21.5703125" customWidth="1"/>
    <col min="10454" max="10454" width="11" customWidth="1"/>
    <col min="10455" max="10455" width="10" customWidth="1"/>
    <col min="10456" max="10490" width="9.140625" customWidth="1"/>
    <col min="10491" max="10491" width="9.7109375" customWidth="1"/>
    <col min="10492" max="10505" width="9.140625" customWidth="1"/>
    <col min="10709" max="10709" width="21.5703125" customWidth="1"/>
    <col min="10710" max="10710" width="11" customWidth="1"/>
    <col min="10711" max="10711" width="10" customWidth="1"/>
    <col min="10712" max="10746" width="9.140625" customWidth="1"/>
    <col min="10747" max="10747" width="9.7109375" customWidth="1"/>
    <col min="10748" max="10761" width="9.140625" customWidth="1"/>
    <col min="10965" max="10965" width="21.5703125" customWidth="1"/>
    <col min="10966" max="10966" width="11" customWidth="1"/>
    <col min="10967" max="10967" width="10" customWidth="1"/>
    <col min="10968" max="11002" width="9.140625" customWidth="1"/>
    <col min="11003" max="11003" width="9.7109375" customWidth="1"/>
    <col min="11004" max="11017" width="9.140625" customWidth="1"/>
    <col min="11221" max="11221" width="21.5703125" customWidth="1"/>
    <col min="11222" max="11222" width="11" customWidth="1"/>
    <col min="11223" max="11223" width="10" customWidth="1"/>
    <col min="11224" max="11258" width="9.140625" customWidth="1"/>
    <col min="11259" max="11259" width="9.7109375" customWidth="1"/>
    <col min="11260" max="11273" width="9.140625" customWidth="1"/>
    <col min="11477" max="11477" width="21.5703125" customWidth="1"/>
    <col min="11478" max="11478" width="11" customWidth="1"/>
    <col min="11479" max="11479" width="10" customWidth="1"/>
    <col min="11480" max="11514" width="9.140625" customWidth="1"/>
    <col min="11515" max="11515" width="9.7109375" customWidth="1"/>
    <col min="11516" max="11529" width="9.140625" customWidth="1"/>
    <col min="11733" max="11733" width="21.5703125" customWidth="1"/>
    <col min="11734" max="11734" width="11" customWidth="1"/>
    <col min="11735" max="11735" width="10" customWidth="1"/>
    <col min="11736" max="11770" width="9.140625" customWidth="1"/>
    <col min="11771" max="11771" width="9.7109375" customWidth="1"/>
    <col min="11772" max="11785" width="9.140625" customWidth="1"/>
    <col min="11989" max="11989" width="21.5703125" customWidth="1"/>
    <col min="11990" max="11990" width="11" customWidth="1"/>
    <col min="11991" max="11991" width="10" customWidth="1"/>
    <col min="11992" max="12026" width="9.140625" customWidth="1"/>
    <col min="12027" max="12027" width="9.7109375" customWidth="1"/>
    <col min="12028" max="12041" width="9.140625" customWidth="1"/>
    <col min="12245" max="12245" width="21.5703125" customWidth="1"/>
    <col min="12246" max="12246" width="11" customWidth="1"/>
    <col min="12247" max="12247" width="10" customWidth="1"/>
    <col min="12248" max="12282" width="9.140625" customWidth="1"/>
    <col min="12283" max="12283" width="9.7109375" customWidth="1"/>
    <col min="12284" max="12297" width="9.140625" customWidth="1"/>
    <col min="12501" max="12501" width="21.5703125" customWidth="1"/>
    <col min="12502" max="12502" width="11" customWidth="1"/>
    <col min="12503" max="12503" width="10" customWidth="1"/>
    <col min="12504" max="12538" width="9.140625" customWidth="1"/>
    <col min="12539" max="12539" width="9.7109375" customWidth="1"/>
    <col min="12540" max="12553" width="9.140625" customWidth="1"/>
    <col min="12757" max="12757" width="21.5703125" customWidth="1"/>
    <col min="12758" max="12758" width="11" customWidth="1"/>
    <col min="12759" max="12759" width="10" customWidth="1"/>
    <col min="12760" max="12794" width="9.140625" customWidth="1"/>
    <col min="12795" max="12795" width="9.7109375" customWidth="1"/>
    <col min="12796" max="12809" width="9.140625" customWidth="1"/>
    <col min="13013" max="13013" width="21.5703125" customWidth="1"/>
    <col min="13014" max="13014" width="11" customWidth="1"/>
    <col min="13015" max="13015" width="10" customWidth="1"/>
    <col min="13016" max="13050" width="9.140625" customWidth="1"/>
    <col min="13051" max="13051" width="9.7109375" customWidth="1"/>
    <col min="13052" max="13065" width="9.140625" customWidth="1"/>
    <col min="13269" max="13269" width="21.5703125" customWidth="1"/>
    <col min="13270" max="13270" width="11" customWidth="1"/>
    <col min="13271" max="13271" width="10" customWidth="1"/>
    <col min="13272" max="13306" width="9.140625" customWidth="1"/>
    <col min="13307" max="13307" width="9.7109375" customWidth="1"/>
    <col min="13308" max="13321" width="9.140625" customWidth="1"/>
    <col min="13525" max="13525" width="21.5703125" customWidth="1"/>
    <col min="13526" max="13526" width="11" customWidth="1"/>
    <col min="13527" max="13527" width="10" customWidth="1"/>
    <col min="13528" max="13562" width="9.140625" customWidth="1"/>
    <col min="13563" max="13563" width="9.7109375" customWidth="1"/>
    <col min="13564" max="13577" width="9.140625" customWidth="1"/>
    <col min="13781" max="13781" width="21.5703125" customWidth="1"/>
    <col min="13782" max="13782" width="11" customWidth="1"/>
    <col min="13783" max="13783" width="10" customWidth="1"/>
    <col min="13784" max="13818" width="9.140625" customWidth="1"/>
    <col min="13819" max="13819" width="9.7109375" customWidth="1"/>
    <col min="13820" max="13833" width="9.140625" customWidth="1"/>
    <col min="14037" max="14037" width="21.5703125" customWidth="1"/>
    <col min="14038" max="14038" width="11" customWidth="1"/>
    <col min="14039" max="14039" width="10" customWidth="1"/>
    <col min="14040" max="14074" width="9.140625" customWidth="1"/>
    <col min="14075" max="14075" width="9.7109375" customWidth="1"/>
    <col min="14076" max="14089" width="9.140625" customWidth="1"/>
    <col min="14293" max="14293" width="21.5703125" customWidth="1"/>
    <col min="14294" max="14294" width="11" customWidth="1"/>
    <col min="14295" max="14295" width="10" customWidth="1"/>
    <col min="14296" max="14330" width="9.140625" customWidth="1"/>
    <col min="14331" max="14331" width="9.7109375" customWidth="1"/>
    <col min="14332" max="14345" width="9.140625" customWidth="1"/>
    <col min="14549" max="14549" width="21.5703125" customWidth="1"/>
    <col min="14550" max="14550" width="11" customWidth="1"/>
    <col min="14551" max="14551" width="10" customWidth="1"/>
    <col min="14552" max="14586" width="9.140625" customWidth="1"/>
    <col min="14587" max="14587" width="9.7109375" customWidth="1"/>
    <col min="14588" max="14601" width="9.140625" customWidth="1"/>
    <col min="14805" max="14805" width="21.5703125" customWidth="1"/>
    <col min="14806" max="14806" width="11" customWidth="1"/>
    <col min="14807" max="14807" width="10" customWidth="1"/>
    <col min="14808" max="14842" width="9.140625" customWidth="1"/>
    <col min="14843" max="14843" width="9.7109375" customWidth="1"/>
    <col min="14844" max="14857" width="9.140625" customWidth="1"/>
    <col min="15061" max="15061" width="21.5703125" customWidth="1"/>
    <col min="15062" max="15062" width="11" customWidth="1"/>
    <col min="15063" max="15063" width="10" customWidth="1"/>
    <col min="15064" max="15098" width="9.140625" customWidth="1"/>
    <col min="15099" max="15099" width="9.7109375" customWidth="1"/>
    <col min="15100" max="15113" width="9.140625" customWidth="1"/>
    <col min="15317" max="15317" width="21.5703125" customWidth="1"/>
    <col min="15318" max="15318" width="11" customWidth="1"/>
    <col min="15319" max="15319" width="10" customWidth="1"/>
    <col min="15320" max="15354" width="9.140625" customWidth="1"/>
    <col min="15355" max="15355" width="9.7109375" customWidth="1"/>
    <col min="15356" max="15369" width="9.140625" customWidth="1"/>
    <col min="15573" max="15573" width="21.5703125" customWidth="1"/>
    <col min="15574" max="15574" width="11" customWidth="1"/>
    <col min="15575" max="15575" width="10" customWidth="1"/>
    <col min="15576" max="15610" width="9.140625" customWidth="1"/>
    <col min="15611" max="15611" width="9.7109375" customWidth="1"/>
    <col min="15612" max="15625" width="9.140625" customWidth="1"/>
    <col min="15829" max="15829" width="21.5703125" customWidth="1"/>
    <col min="15830" max="15830" width="11" customWidth="1"/>
    <col min="15831" max="15831" width="10" customWidth="1"/>
    <col min="15832" max="15866" width="9.140625" customWidth="1"/>
    <col min="15867" max="15867" width="9.7109375" customWidth="1"/>
    <col min="15868" max="15881" width="9.140625" customWidth="1"/>
    <col min="16085" max="16085" width="21.5703125" customWidth="1"/>
    <col min="16086" max="16086" width="11" customWidth="1"/>
    <col min="16087" max="16087" width="10" customWidth="1"/>
    <col min="16088" max="16122" width="9.140625" customWidth="1"/>
    <col min="16123" max="16123" width="9.7109375" customWidth="1"/>
    <col min="16124" max="16137" width="9.140625" customWidth="1"/>
  </cols>
  <sheetData>
    <row r="1" spans="1:15" ht="15.75" customHeight="1" thickBot="1" x14ac:dyDescent="0.35">
      <c r="A1" s="1"/>
      <c r="B1" s="97" t="s">
        <v>88</v>
      </c>
      <c r="C1" s="96"/>
      <c r="D1" s="96"/>
      <c r="E1" s="96"/>
      <c r="F1" s="96"/>
      <c r="G1" s="96"/>
      <c r="H1" s="96"/>
      <c r="I1" s="96"/>
      <c r="J1" s="96"/>
      <c r="K1" s="4"/>
      <c r="L1" s="2"/>
      <c r="M1" s="1"/>
      <c r="N1" s="1"/>
      <c r="O1" s="3"/>
    </row>
    <row r="2" spans="1:15" ht="15.75" customHeight="1" x14ac:dyDescent="0.25">
      <c r="A2" s="414" t="s">
        <v>4</v>
      </c>
      <c r="B2" s="417" t="s">
        <v>3</v>
      </c>
      <c r="C2" s="420" t="s">
        <v>5</v>
      </c>
      <c r="D2" s="408" t="s">
        <v>77</v>
      </c>
      <c r="E2" s="409"/>
      <c r="F2" s="410"/>
      <c r="G2" s="423" t="s">
        <v>78</v>
      </c>
      <c r="H2" s="424"/>
      <c r="I2" s="425"/>
      <c r="J2" s="408" t="s">
        <v>79</v>
      </c>
      <c r="K2" s="409"/>
      <c r="L2" s="410"/>
      <c r="M2" s="408" t="s">
        <v>80</v>
      </c>
      <c r="N2" s="409"/>
      <c r="O2" s="410"/>
    </row>
    <row r="3" spans="1:15" ht="39" customHeight="1" thickBot="1" x14ac:dyDescent="0.3">
      <c r="A3" s="415"/>
      <c r="B3" s="418"/>
      <c r="C3" s="421"/>
      <c r="D3" s="412"/>
      <c r="E3" s="412"/>
      <c r="F3" s="413"/>
      <c r="G3" s="426"/>
      <c r="H3" s="426"/>
      <c r="I3" s="427"/>
      <c r="J3" s="411"/>
      <c r="K3" s="412"/>
      <c r="L3" s="413"/>
      <c r="M3" s="411"/>
      <c r="N3" s="412"/>
      <c r="O3" s="413"/>
    </row>
    <row r="4" spans="1:15" ht="54.75" customHeight="1" thickBot="1" x14ac:dyDescent="0.3">
      <c r="A4" s="416"/>
      <c r="B4" s="419"/>
      <c r="C4" s="428"/>
      <c r="D4" s="5" t="s">
        <v>6</v>
      </c>
      <c r="E4" s="5" t="s">
        <v>37</v>
      </c>
      <c r="F4" s="6" t="s">
        <v>7</v>
      </c>
      <c r="G4" s="126" t="s">
        <v>6</v>
      </c>
      <c r="H4" s="5" t="s">
        <v>37</v>
      </c>
      <c r="I4" s="127" t="s">
        <v>7</v>
      </c>
      <c r="J4" s="5" t="s">
        <v>6</v>
      </c>
      <c r="K4" s="5" t="s">
        <v>37</v>
      </c>
      <c r="L4" s="6" t="s">
        <v>7</v>
      </c>
      <c r="M4" s="91" t="s">
        <v>6</v>
      </c>
      <c r="N4" s="5" t="s">
        <v>37</v>
      </c>
      <c r="O4" s="6" t="s">
        <v>7</v>
      </c>
    </row>
    <row r="5" spans="1:15" s="28" customFormat="1" ht="15.75" x14ac:dyDescent="0.25">
      <c r="A5" s="15">
        <v>1</v>
      </c>
      <c r="B5" s="16" t="s">
        <v>40</v>
      </c>
      <c r="C5" s="17"/>
      <c r="D5" s="29">
        <f>COUNTIF(Январь!I3:I20,1)</f>
        <v>7</v>
      </c>
      <c r="E5" s="98">
        <f>SUMIF(Январь!I3:I20, 1, Январь!G3:G20)</f>
        <v>40.883333333360497</v>
      </c>
      <c r="F5" s="30">
        <f t="shared" ref="F5:F23" si="0">E5/D5</f>
        <v>5.8404761904800706</v>
      </c>
      <c r="G5" s="108">
        <f>COUNTIF(Февраль!I3:I16,1)</f>
        <v>7</v>
      </c>
      <c r="H5" s="105">
        <f>SUMIF(Февраль!I3:I16, 1, Февраль!G3:G16)</f>
        <v>8.6666666666278616</v>
      </c>
      <c r="I5" s="30">
        <f t="shared" ref="I5:I22" si="1">H5/G5</f>
        <v>1.2380952380896946</v>
      </c>
      <c r="J5" s="29">
        <f>COUNTIF(Март!I3:I13,1)</f>
        <v>4</v>
      </c>
      <c r="K5" s="98">
        <f>SUMIF(Март!I3:I13, 1, Март!G3:G13)</f>
        <v>6.4833333331625909</v>
      </c>
      <c r="L5" s="30">
        <f t="shared" ref="L5:L22" si="2">K5/J5</f>
        <v>1.6208333332906477</v>
      </c>
      <c r="M5" s="124">
        <f t="shared" ref="M5:M22" si="3">D5+G5+J5</f>
        <v>18</v>
      </c>
      <c r="N5" s="114">
        <f t="shared" ref="N5:N22" si="4">E5+H5+K5</f>
        <v>56.033333333150949</v>
      </c>
      <c r="O5" s="113">
        <f t="shared" ref="O5:O22" si="5">N5/M5</f>
        <v>3.1129629629528304</v>
      </c>
    </row>
    <row r="6" spans="1:15" s="28" customFormat="1" ht="15" customHeight="1" x14ac:dyDescent="0.25">
      <c r="A6" s="18"/>
      <c r="B6" s="19" t="s">
        <v>8</v>
      </c>
      <c r="C6" s="20" t="s">
        <v>9</v>
      </c>
      <c r="D6" s="31">
        <f>COUNTIFS(Январь!D3:D20, 0.4,Январь!I3:I20,1)</f>
        <v>0</v>
      </c>
      <c r="E6" s="88">
        <f>SUMIFS(Январь!G3:G20, Январь!D3:D20, 0.4, Январь!I3:I20, 1)</f>
        <v>0</v>
      </c>
      <c r="F6" s="32"/>
      <c r="G6" s="109">
        <f>COUNTIFS(Февраль!D3:D16, 0.4,Февраль!I3:I16,1)</f>
        <v>0</v>
      </c>
      <c r="H6" s="106">
        <f>SUMIFS(Февраль!G3:G16, Февраль!D3:D16, 0.4, Февраль!I3:I16, 1)</f>
        <v>0</v>
      </c>
      <c r="I6" s="32"/>
      <c r="J6" s="31">
        <f>COUNTIFS(Март!D3:D13, 0.4,Март!I3:I13,1)</f>
        <v>0</v>
      </c>
      <c r="K6" s="88">
        <f>SUMIFS(Март!G3:G13, Март!D3:D13, 0.4, Март!I3:I13, 1)</f>
        <v>0</v>
      </c>
      <c r="L6" s="32"/>
      <c r="M6" s="125">
        <f t="shared" si="3"/>
        <v>0</v>
      </c>
      <c r="N6" s="115">
        <f t="shared" si="4"/>
        <v>0</v>
      </c>
      <c r="O6" s="21"/>
    </row>
    <row r="7" spans="1:15" s="28" customFormat="1" ht="15.75" customHeight="1" thickBot="1" x14ac:dyDescent="0.3">
      <c r="A7" s="22"/>
      <c r="B7" s="23"/>
      <c r="C7" s="24" t="s">
        <v>10</v>
      </c>
      <c r="D7" s="33">
        <f>COUNTIFS(Январь!D3:D20, 10,Январь!I3:I20,1)+COUNTIFS(Январь!D3:D20, 6,Январь!I3:I20,1)+COUNTIFS(Январь!D3:D20, 35,Январь!I3:I20,1)+COUNTIFS(Январь!D3:D20, 110,Январь!I3:I20,1)</f>
        <v>7</v>
      </c>
      <c r="E7" s="89">
        <f>SUMIFS(Январь!G3:G20, Январь!D3:D20, 10, Январь!I3:I20, 1)+SUMIFS(Январь!G3:G20, Январь!D3:D20, 6, Январь!I3:I20, 1)+SUMIFS(Январь!G3:G20, Январь!D3:D20, 35, Январь!I3:I20, 1)+SUMIFS(Январь!G3:G20, Январь!D3:D20, 110, Январь!I3:I20, 1)</f>
        <v>40.883333333360497</v>
      </c>
      <c r="F7" s="34">
        <f t="shared" si="0"/>
        <v>5.8404761904800706</v>
      </c>
      <c r="G7" s="110">
        <f>COUNTIFS(Февраль!D3:D16, 10,Февраль!I3:I16,1)+COUNTIFS(Февраль!D3:D16, 6,Февраль!I3:I16,1)+COUNTIFS(Февраль!D3:D16, 35,Февраль!I3:I16,1)+COUNTIFS(Февраль!D3:D16, 110,Февраль!I3:I16,1)</f>
        <v>7</v>
      </c>
      <c r="H7" s="107">
        <f>SUMIFS(Февраль!G3:G16, Февраль!D3:D16, 10, Февраль!I3:I16, 1)+SUMIFS(Февраль!G3:G16, Февраль!D3:D16, 6, Февраль!I3:I16, 1)+SUMIFS(Февраль!G3:G16, Февраль!D3:D16, 35, Февраль!I3:I16, 1)+SUMIFS(Февраль!G3:G16, Февраль!D3:D16, 110, Февраль!I3:I16, 1)</f>
        <v>8.6666666666278616</v>
      </c>
      <c r="I7" s="34">
        <f t="shared" si="1"/>
        <v>1.2380952380896946</v>
      </c>
      <c r="J7" s="33">
        <f>COUNTIFS(Март!D3:D13, 10,Март!I3:I13,1)+COUNTIFS(Март!D3:D13, 6,Март!I3:I13,1)+COUNTIFS(Март!D3:D13, 35,Март!I3:I13,1)+COUNTIFS(Март!D3:D13, 110,Март!I3:I13,1)</f>
        <v>4</v>
      </c>
      <c r="K7" s="89">
        <f>SUMIFS(Март!G3:G13, Март!D3:D13, 10, Март!I3:I13, 1)+SUMIFS(Март!G3:G13, Март!D3:D13, 6, Март!I3:I13, 1)+SUMIFS(Март!G3:G13, Март!D3:D13, 35, Март!I3:I13, 1)+SUMIFS(Март!G3:G13, Март!D3:D13, 110, Март!I3:I13, 1)</f>
        <v>6.4833333331625909</v>
      </c>
      <c r="L7" s="34">
        <f t="shared" si="2"/>
        <v>1.6208333332906477</v>
      </c>
      <c r="M7" s="132">
        <f t="shared" si="3"/>
        <v>18</v>
      </c>
      <c r="N7" s="122">
        <f t="shared" si="4"/>
        <v>56.033333333150949</v>
      </c>
      <c r="O7" s="123">
        <f t="shared" si="5"/>
        <v>3.1129629629528304</v>
      </c>
    </row>
    <row r="8" spans="1:15" s="90" customFormat="1" ht="15.75" x14ac:dyDescent="0.25">
      <c r="A8" s="7">
        <v>2</v>
      </c>
      <c r="B8" s="137" t="s">
        <v>43</v>
      </c>
      <c r="C8" s="8"/>
      <c r="D8" s="152">
        <f>COUNTIF(Январь!I21:I48,1)</f>
        <v>18</v>
      </c>
      <c r="E8" s="153">
        <f>SUMIF(Январь!I21:I48, 1, Январь!G21:G48)</f>
        <v>40.683333332883194</v>
      </c>
      <c r="F8" s="154">
        <f t="shared" si="0"/>
        <v>2.2601851851601773</v>
      </c>
      <c r="G8" s="175">
        <f>COUNTIF(Февраль!I17:I30,1)</f>
        <v>10</v>
      </c>
      <c r="H8" s="176">
        <f>SUMIF(Февраль!I17:I30, 1, Февраль!G17:G30)</f>
        <v>21.366666666814126</v>
      </c>
      <c r="I8" s="154">
        <f t="shared" si="1"/>
        <v>2.1366666666814127</v>
      </c>
      <c r="J8" s="152">
        <f>COUNTIF(Март!I14:I33,1)</f>
        <v>16</v>
      </c>
      <c r="K8" s="153">
        <f>SUMIF(Март!I14:I33, 1, Март!G14:G33)</f>
        <v>51.700000000186265</v>
      </c>
      <c r="L8" s="154">
        <f t="shared" si="2"/>
        <v>3.2312500000116415</v>
      </c>
      <c r="M8" s="166">
        <f t="shared" si="3"/>
        <v>44</v>
      </c>
      <c r="N8" s="167">
        <f t="shared" si="4"/>
        <v>113.74999999988358</v>
      </c>
      <c r="O8" s="168">
        <f t="shared" si="5"/>
        <v>2.585227272724627</v>
      </c>
    </row>
    <row r="9" spans="1:15" s="90" customFormat="1" ht="15" customHeight="1" x14ac:dyDescent="0.25">
      <c r="A9" s="9"/>
      <c r="B9" s="10" t="s">
        <v>8</v>
      </c>
      <c r="C9" s="11" t="s">
        <v>9</v>
      </c>
      <c r="D9" s="155">
        <f>COUNTIFS(Январь!D21:D48, 0.4,Январь!I21:I48,1)</f>
        <v>0</v>
      </c>
      <c r="E9" s="156">
        <f>SUMIFS(Январь!G21:G48, Январь!D21:D48, 0.4, Январь!I21:I48, 1)</f>
        <v>0</v>
      </c>
      <c r="F9" s="157"/>
      <c r="G9" s="177">
        <f>COUNTIFS(Февраль!D17:D30, 0.4,Февраль!I17:I30,1)</f>
        <v>0</v>
      </c>
      <c r="H9" s="178">
        <f>SUMIFS(Февраль!G17:G30, Февраль!D17:D30, 0.4, Февраль!I17:I30, 1)</f>
        <v>0</v>
      </c>
      <c r="I9" s="157"/>
      <c r="J9" s="155">
        <f>COUNTIFS(Март!D14:D33, 0.4,Март!I14:I33,1)</f>
        <v>0</v>
      </c>
      <c r="K9" s="156">
        <f>SUMIFS(Март!G14:G33, Март!D14:D33, 0.4, Март!I14:I33, 1)</f>
        <v>0</v>
      </c>
      <c r="L9" s="157"/>
      <c r="M9" s="169">
        <f t="shared" si="3"/>
        <v>0</v>
      </c>
      <c r="N9" s="170">
        <f t="shared" si="4"/>
        <v>0</v>
      </c>
      <c r="O9" s="171"/>
    </row>
    <row r="10" spans="1:15" s="90" customFormat="1" ht="15.75" customHeight="1" thickBot="1" x14ac:dyDescent="0.3">
      <c r="A10" s="12"/>
      <c r="B10" s="13"/>
      <c r="C10" s="14" t="s">
        <v>10</v>
      </c>
      <c r="D10" s="158">
        <f>COUNTIFS(Январь!D21:D48, 10,Январь!I21:I48,1)+COUNTIFS(Январь!D21:D48, 6,Январь!I21:I48,1)+COUNTIFS(Январь!D21:D48, 35,Январь!I21:I48,1)+COUNTIFS(Январь!D21:D48, 110,Январь!I21:I48,1)</f>
        <v>18</v>
      </c>
      <c r="E10" s="159">
        <f>SUMIFS(Январь!G21:G48, Январь!D21:D48, 10, Январь!I21:I48, 1)+SUMIFS(Январь!G21:G48, Январь!D21:D48, 6, Январь!I21:I48, 1)+SUMIFS(Январь!G21:G48, Январь!D21:D48, 35, Январь!I21:I48, 1)+SUMIFS(Январь!G21:G48, Январь!D21:D48, 110, Январь!I21:I48, 1)</f>
        <v>40.683333332883194</v>
      </c>
      <c r="F10" s="160">
        <f t="shared" si="0"/>
        <v>2.2601851851601773</v>
      </c>
      <c r="G10" s="179">
        <f>COUNTIFS(Февраль!D17:D30, 10,Февраль!I17:I30,1)+COUNTIFS(Февраль!D17:D30, 6,Февраль!I17:I30,1)+COUNTIFS(Февраль!D17:D30, 35,Февраль!I17:I30,1)+COUNTIFS(Февраль!D17:D30, 110,Февраль!I17:I30,1)</f>
        <v>10</v>
      </c>
      <c r="H10" s="180">
        <f>SUMIFS(Февраль!G17:G30, Февраль!D17:D30, 10, Февраль!I17:I30, 1)+SUMIFS(Февраль!G17:G30, Февраль!D17:D30, 6, Февраль!I17:I30, 1)+SUMIFS(Февраль!G17:G30, Февраль!D17:D30, 35, Февраль!I17:I30, 1)+SUMIFS(Февраль!G17:G30, Февраль!D17:D30, 110, Февраль!I17:I30, 1)</f>
        <v>21.366666666814126</v>
      </c>
      <c r="I10" s="160">
        <f t="shared" si="1"/>
        <v>2.1366666666814127</v>
      </c>
      <c r="J10" s="158">
        <f>COUNTIFS(Март!D14:D33, 10,Март!I14:I33,1)+COUNTIFS(Март!D14:D33, 6,Март!I14:I33,1)+COUNTIFS(Март!D14:D33, 35,Март!I14:I33,1)+COUNTIFS(Март!D14:D33, 110,Март!I14:I33,1)</f>
        <v>16</v>
      </c>
      <c r="K10" s="159">
        <f>SUMIFS(Март!G14:G33, Март!D14:D33, 10, Март!I14:I33, 1)+SUMIFS(Март!G14:G33, Март!D14:D33, 6, Март!I14:I33, 1)+SUMIFS(Март!G14:G33, Март!D14:D33, 35, Март!I14:I33, 1)+SUMIFS(Март!G14:G33, Март!D14:D33, 110, Март!I14:I33, 1)</f>
        <v>51.700000000186265</v>
      </c>
      <c r="L10" s="160">
        <f t="shared" si="2"/>
        <v>3.2312500000116415</v>
      </c>
      <c r="M10" s="172">
        <f t="shared" si="3"/>
        <v>44</v>
      </c>
      <c r="N10" s="173">
        <f t="shared" si="4"/>
        <v>113.74999999988358</v>
      </c>
      <c r="O10" s="174">
        <f t="shared" si="5"/>
        <v>2.585227272724627</v>
      </c>
    </row>
    <row r="11" spans="1:15" s="28" customFormat="1" ht="15.75" x14ac:dyDescent="0.25">
      <c r="A11" s="15">
        <v>3</v>
      </c>
      <c r="B11" s="26" t="s">
        <v>30</v>
      </c>
      <c r="C11" s="17"/>
      <c r="D11" s="29">
        <f>COUNTIF(Январь!I49:I68,1)</f>
        <v>7</v>
      </c>
      <c r="E11" s="98">
        <f>SUMIF(Январь!I49:I68, 1, Январь!G49:G68)</f>
        <v>16.433333333116025</v>
      </c>
      <c r="F11" s="30">
        <f t="shared" si="0"/>
        <v>2.3476190475880037</v>
      </c>
      <c r="G11" s="108">
        <f>COUNTIF(Февраль!I31:I51,1)</f>
        <v>3</v>
      </c>
      <c r="H11" s="105">
        <f>SUMIF(Февраль!I31:I51, 1, Февраль!G31:G51)</f>
        <v>18.783333333267365</v>
      </c>
      <c r="I11" s="30">
        <f t="shared" si="1"/>
        <v>6.2611111110891216</v>
      </c>
      <c r="J11" s="29">
        <f>COUNTIF(Март!I34:I49,1)</f>
        <v>6</v>
      </c>
      <c r="K11" s="98">
        <f>SUMIF(Март!I34:I49, 1, Март!G34:G49)</f>
        <v>15.549999999871943</v>
      </c>
      <c r="L11" s="30">
        <f t="shared" si="2"/>
        <v>2.5916666666453239</v>
      </c>
      <c r="M11" s="124">
        <f t="shared" si="3"/>
        <v>16</v>
      </c>
      <c r="N11" s="114">
        <f t="shared" si="4"/>
        <v>50.766666666255333</v>
      </c>
      <c r="O11" s="113">
        <f t="shared" si="5"/>
        <v>3.1729166666409583</v>
      </c>
    </row>
    <row r="12" spans="1:15" s="28" customFormat="1" ht="15" customHeight="1" x14ac:dyDescent="0.25">
      <c r="A12" s="18"/>
      <c r="B12" s="19" t="s">
        <v>8</v>
      </c>
      <c r="C12" s="20" t="s">
        <v>9</v>
      </c>
      <c r="D12" s="31">
        <f>COUNTIFS(Январь!D49:D68, 0.4,Январь!I49:I68,1)</f>
        <v>0</v>
      </c>
      <c r="E12" s="88">
        <f>SUMIFS(Январь!G49:G68, Январь!D49:D68, 0.4, Январь!I49:I68, 1)</f>
        <v>0</v>
      </c>
      <c r="F12" s="32"/>
      <c r="G12" s="109">
        <f>COUNTIFS(Февраль!D31:D51, 0.4,Февраль!I31:I51,1)</f>
        <v>0</v>
      </c>
      <c r="H12" s="106">
        <f>SUMIFS(Февраль!G31:G51, Февраль!D31:D51, 0.4, Февраль!I31:I51, 1)</f>
        <v>0</v>
      </c>
      <c r="I12" s="32"/>
      <c r="J12" s="31">
        <f>COUNTIFS(Март!D34:D49, 0.4,Март!I34:I49,1)</f>
        <v>2</v>
      </c>
      <c r="K12" s="88">
        <f>SUMIFS(Март!G34:G49, Март!D34:D49, 0.4, Март!I34:I49, 1)</f>
        <v>3.9999999999417923</v>
      </c>
      <c r="L12" s="32">
        <f>K12/J12</f>
        <v>1.9999999999708962</v>
      </c>
      <c r="M12" s="125">
        <f t="shared" si="3"/>
        <v>2</v>
      </c>
      <c r="N12" s="115">
        <f t="shared" si="4"/>
        <v>3.9999999999417923</v>
      </c>
      <c r="O12" s="21">
        <f>N12/M12</f>
        <v>1.9999999999708962</v>
      </c>
    </row>
    <row r="13" spans="1:15" s="28" customFormat="1" ht="15.75" customHeight="1" thickBot="1" x14ac:dyDescent="0.3">
      <c r="A13" s="22"/>
      <c r="B13" s="23"/>
      <c r="C13" s="24" t="s">
        <v>10</v>
      </c>
      <c r="D13" s="33">
        <f>COUNTIFS(Январь!D49:D68, 10,Январь!I49:I68,1)+COUNTIFS(Январь!D49:D68, 6,Январь!I49:I68,1)+COUNTIFS(Январь!D49:D68, 35,Январь!I49:I68,1)+COUNTIFS(Январь!D49:D68, 110,Январь!I49:I68,1)</f>
        <v>7</v>
      </c>
      <c r="E13" s="89">
        <f>SUMIFS(Январь!G49:G68, Январь!D49:D68, 10, Январь!I49:I68, 1)+SUMIFS(Январь!G49:G68, Январь!D49:D68, 6, Январь!I49:I68, 1)+SUMIFS(Январь!G49:G68, Январь!D49:D68, 35, Январь!I49:I68, 1)+SUMIFS(Январь!G49:G68, Январь!D49:D68, 110, Январь!I49:I68, 1)</f>
        <v>16.433333333116025</v>
      </c>
      <c r="F13" s="34">
        <f t="shared" si="0"/>
        <v>2.3476190475880037</v>
      </c>
      <c r="G13" s="110">
        <f>COUNTIFS(Февраль!D31:D51, 10,Февраль!I31:I51,1)+COUNTIFS(Февраль!D31:D51, 6,Февраль!I31:I51,1)+COUNTIFS(Февраль!D31:D51, 35,Февраль!I31:I51,1)+COUNTIFS(Февраль!D31:D51, 110,Февраль!I31:I51,1)</f>
        <v>3</v>
      </c>
      <c r="H13" s="107">
        <f>SUMIFS(Февраль!G31:G51, Февраль!D31:D51, 10, Февраль!I31:I51, 1)+SUMIFS(Февраль!G31:G51, Февраль!D31:D51, 6, Февраль!I31:I51, 1)+SUMIFS(Февраль!G31:G51, Февраль!D31:D51, 35, Февраль!I31:I51, 1)+SUMIFS(Февраль!G31:G51, Февраль!D31:D51, 110, Февраль!I31:I51, 1)</f>
        <v>18.783333333267365</v>
      </c>
      <c r="I13" s="34">
        <f t="shared" si="1"/>
        <v>6.2611111110891216</v>
      </c>
      <c r="J13" s="33">
        <f>COUNTIFS(Март!D34:D49, 10,Март!I34:I49,1)+COUNTIFS(Март!D34:D49, 6,Март!I34:I49,1)+COUNTIFS(Март!D34:D49, 35,Март!I34:I49,1)+COUNTIFS(Март!D34:D49, 110,Март!I34:I49,1)</f>
        <v>4</v>
      </c>
      <c r="K13" s="89">
        <f>SUMIFS(Март!G34:G49, Март!D34:D49, 10, Март!I34:I49, 1)+SUMIFS(Март!G34:G49, Март!D34:D49, 6, Март!I34:I49, 1)+SUMIFS(Март!G34:G49, Март!D34:D49, 35, Март!I34:I49, 1)+SUMIFS(Март!G34:G49, Март!D34:D49, 110, Март!I34:I49, 1)</f>
        <v>11.549999999930151</v>
      </c>
      <c r="L13" s="34">
        <f t="shared" si="2"/>
        <v>2.8874999999825377</v>
      </c>
      <c r="M13" s="132">
        <f t="shared" si="3"/>
        <v>14</v>
      </c>
      <c r="N13" s="122">
        <f t="shared" si="4"/>
        <v>46.76666666631354</v>
      </c>
      <c r="O13" s="123">
        <f t="shared" si="5"/>
        <v>3.3404761904509672</v>
      </c>
    </row>
    <row r="14" spans="1:15" s="90" customFormat="1" ht="15.75" x14ac:dyDescent="0.25">
      <c r="A14" s="7">
        <v>4</v>
      </c>
      <c r="B14" s="137" t="s">
        <v>41</v>
      </c>
      <c r="C14" s="8"/>
      <c r="D14" s="152">
        <f>COUNTIF(Январь!I69:I97,1)</f>
        <v>10</v>
      </c>
      <c r="E14" s="153">
        <f>SUMIF(Январь!I69:I97, 1, Январь!G69:G97)</f>
        <v>22.68333333323244</v>
      </c>
      <c r="F14" s="154">
        <f t="shared" si="0"/>
        <v>2.2683333333232438</v>
      </c>
      <c r="G14" s="175">
        <f>COUNTIF(Февраль!I52:I77,1)</f>
        <v>10</v>
      </c>
      <c r="H14" s="176">
        <f>SUMIF(Февраль!I52:I77, 1, Февраль!G52:G77)</f>
        <v>67.266666667128447</v>
      </c>
      <c r="I14" s="154">
        <f t="shared" si="1"/>
        <v>6.7266666667128447</v>
      </c>
      <c r="J14" s="152">
        <f>COUNTIF(Март!I50:I62,1)</f>
        <v>10</v>
      </c>
      <c r="K14" s="153">
        <f>SUMIF(Март!I50:I62, 1, Март!G50:G62)</f>
        <v>60.166666666511446</v>
      </c>
      <c r="L14" s="154">
        <f t="shared" si="2"/>
        <v>6.0166666666511448</v>
      </c>
      <c r="M14" s="166">
        <f t="shared" si="3"/>
        <v>30</v>
      </c>
      <c r="N14" s="167">
        <f t="shared" si="4"/>
        <v>150.11666666687233</v>
      </c>
      <c r="O14" s="168">
        <f t="shared" si="5"/>
        <v>5.0038888888957445</v>
      </c>
    </row>
    <row r="15" spans="1:15" s="90" customFormat="1" ht="15" customHeight="1" x14ac:dyDescent="0.25">
      <c r="A15" s="9"/>
      <c r="B15" s="10" t="s">
        <v>8</v>
      </c>
      <c r="C15" s="11" t="s">
        <v>9</v>
      </c>
      <c r="D15" s="155">
        <f>COUNTIFS(Январь!D69:D97, 0.4,Январь!I69:I97,1)</f>
        <v>1</v>
      </c>
      <c r="E15" s="156">
        <f>SUMIFS(Январь!G69:G97, Январь!D69:D97, 0.4, Январь!I69:I97, 1)</f>
        <v>2.2166666667326353</v>
      </c>
      <c r="F15" s="157"/>
      <c r="G15" s="177">
        <f>COUNTIFS(Февраль!D52:D77, 0.4,Февраль!I52:I77,1)</f>
        <v>2</v>
      </c>
      <c r="H15" s="178">
        <f>SUMIFS(Февраль!G52:G77, Февраль!D52:D77, 0.4, Февраль!I52:I77, 1)</f>
        <v>22.233333333511837</v>
      </c>
      <c r="I15" s="157">
        <f t="shared" si="1"/>
        <v>11.116666666755918</v>
      </c>
      <c r="J15" s="155">
        <f>COUNTIFS(Март!D50:D62, 0.4,Март!I50:I62,1)</f>
        <v>0</v>
      </c>
      <c r="K15" s="156">
        <f>SUMIFS(Март!G50:G62, Март!D50:D62, 0.4, Март!I50:I62, 1)</f>
        <v>0</v>
      </c>
      <c r="L15" s="157"/>
      <c r="M15" s="169">
        <f t="shared" si="3"/>
        <v>3</v>
      </c>
      <c r="N15" s="170">
        <f t="shared" si="4"/>
        <v>24.450000000244472</v>
      </c>
      <c r="O15" s="171">
        <f t="shared" si="5"/>
        <v>8.1500000000814907</v>
      </c>
    </row>
    <row r="16" spans="1:15" s="90" customFormat="1" ht="15.75" customHeight="1" thickBot="1" x14ac:dyDescent="0.3">
      <c r="A16" s="12"/>
      <c r="B16" s="13"/>
      <c r="C16" s="14" t="s">
        <v>10</v>
      </c>
      <c r="D16" s="158">
        <f>COUNTIFS(Январь!D69:D97, 10,Январь!I69:I97,1)+COUNTIFS(Январь!D69:D97, 6,Январь!I69:I97,1)+COUNTIFS(Январь!D69:D97, 35,Январь!I69:I97,1)+COUNTIFS(Январь!D69:D97, 110,Январь!I69:I97,1)</f>
        <v>9</v>
      </c>
      <c r="E16" s="159">
        <f>SUMIFS(Январь!G69:G97, Январь!D69:D97, 10, Январь!I69:I97, 1)+SUMIFS(Январь!G69:G97, Январь!D69:D97, 6, Январь!I69:I97, 1)+SUMIFS(Январь!G69:G97, Январь!D69:D97, 35, Январь!I69:I97, 1)+SUMIFS(Январь!G69:G97, Январь!D69:D97, 110, Январь!I69:I97, 1)</f>
        <v>20.466666666499805</v>
      </c>
      <c r="F16" s="160">
        <f t="shared" si="0"/>
        <v>2.2740740740555339</v>
      </c>
      <c r="G16" s="179">
        <f>COUNTIFS(Февраль!D52:D77, 10,Февраль!I52:I77,1)+COUNTIFS(Февраль!D52:D77, 6,Февраль!I52:I77,1)+COUNTIFS(Февраль!D52:D77, 35,Февраль!I52:I77,1)+COUNTIFS(Февраль!D52:D77, 110,Февраль!I52:I77,1)</f>
        <v>8</v>
      </c>
      <c r="H16" s="180">
        <f>SUMIFS(Февраль!G52:G77, Февраль!D52:D77, 10, Февраль!I52:I77, 1)+SUMIFS(Февраль!G52:G77, Февраль!D52:D77, 6, Февраль!I52:I77, 1)+SUMIFS(Февраль!G52:G77, Февраль!D52:D77, 35, Февраль!I52:I77, 1)+SUMIFS(Февраль!G52:G77, Февраль!D52:D77, 110, Февраль!I52:I77, 1)</f>
        <v>45.033333333616611</v>
      </c>
      <c r="I16" s="160">
        <f t="shared" si="1"/>
        <v>5.6291666667020763</v>
      </c>
      <c r="J16" s="158">
        <f>COUNTIFS(Март!D50:D62, 10,Март!I50:I62,1)+COUNTIFS(Март!D50:D62, 6,Март!I50:I62,1)+COUNTIFS(Март!D50:D62, 35,Март!I50:I62,1)+COUNTIFS(Март!D50:D62, 110,Март!I50:I62,1)</f>
        <v>10</v>
      </c>
      <c r="K16" s="159">
        <f>SUMIFS(Март!G50:G62, Март!D50:D62, 10, Март!I50:I62, 1)+SUMIFS(Март!G50:G62, Март!D50:D62, 6, Март!I50:I62, 1)+SUMIFS(Март!G50:G62, Март!D50:D62, 35, Март!I50:I62, 1)+SUMIFS(Март!G50:G62, Март!D50:D62, 110, Март!I50:I62, 1)</f>
        <v>60.166666666511446</v>
      </c>
      <c r="L16" s="160">
        <f t="shared" si="2"/>
        <v>6.0166666666511448</v>
      </c>
      <c r="M16" s="172">
        <f t="shared" si="3"/>
        <v>27</v>
      </c>
      <c r="N16" s="173">
        <f t="shared" si="4"/>
        <v>125.66666666662786</v>
      </c>
      <c r="O16" s="174">
        <f t="shared" si="5"/>
        <v>4.6543209876528842</v>
      </c>
    </row>
    <row r="17" spans="1:15" s="28" customFormat="1" ht="15.75" x14ac:dyDescent="0.25">
      <c r="A17" s="15">
        <v>5</v>
      </c>
      <c r="B17" s="26" t="s">
        <v>44</v>
      </c>
      <c r="C17" s="17"/>
      <c r="D17" s="29">
        <f>COUNTIF(Январь!I98:I132,1)</f>
        <v>21</v>
      </c>
      <c r="E17" s="98">
        <f>SUMIF(Январь!I98:I132, 1, Январь!G98:G132)</f>
        <v>49.616666666872334</v>
      </c>
      <c r="F17" s="30">
        <f t="shared" si="0"/>
        <v>2.3626984127082062</v>
      </c>
      <c r="G17" s="108">
        <f>COUNTIF(Февраль!I78:I106,1)</f>
        <v>9</v>
      </c>
      <c r="H17" s="105">
        <f>SUMIF(Февраль!I78:I106, 1, Февраль!G78:G106)</f>
        <v>24.333333333197515</v>
      </c>
      <c r="I17" s="30">
        <f t="shared" si="1"/>
        <v>2.7037037036886127</v>
      </c>
      <c r="J17" s="29">
        <f>COUNTIF(Март!I63:I92,1)</f>
        <v>16</v>
      </c>
      <c r="K17" s="98">
        <f>SUMIF(Март!I63:I92, 1, Март!G63:G92)</f>
        <v>38.316666666883975</v>
      </c>
      <c r="L17" s="30">
        <f t="shared" si="2"/>
        <v>2.3947916666802485</v>
      </c>
      <c r="M17" s="124">
        <f t="shared" si="3"/>
        <v>46</v>
      </c>
      <c r="N17" s="114">
        <f t="shared" si="4"/>
        <v>112.26666666695382</v>
      </c>
      <c r="O17" s="113">
        <f t="shared" si="5"/>
        <v>2.4405797101511699</v>
      </c>
    </row>
    <row r="18" spans="1:15" s="28" customFormat="1" ht="15" customHeight="1" x14ac:dyDescent="0.25">
      <c r="A18" s="18"/>
      <c r="B18" s="19" t="s">
        <v>8</v>
      </c>
      <c r="C18" s="20" t="s">
        <v>9</v>
      </c>
      <c r="D18" s="31">
        <f>COUNTIFS(Январь!D98:D132, 0.4,Январь!I98:I132,1)</f>
        <v>10</v>
      </c>
      <c r="E18" s="88">
        <f>SUMIFS(Январь!G98:G132, Январь!D98:D132, 0.4, Январь!I98:I132, 1)</f>
        <v>6.2000000003026798</v>
      </c>
      <c r="F18" s="32">
        <f t="shared" si="0"/>
        <v>0.62000000003026801</v>
      </c>
      <c r="G18" s="109">
        <f>COUNTIFS(Февраль!D78:D106, 0.4,Февраль!I78:I106,1)</f>
        <v>4</v>
      </c>
      <c r="H18" s="106">
        <f>SUMIFS(Февраль!G78:G106, Февраль!D78:D106, 0.4, Февраль!I78:I106, 1)</f>
        <v>3.9666666664998047</v>
      </c>
      <c r="I18" s="32">
        <f>H18/G18</f>
        <v>0.99166666662495118</v>
      </c>
      <c r="J18" s="31">
        <f>COUNTIFS(Март!D63:D92, 0.4,Март!I63:I92,1)</f>
        <v>6</v>
      </c>
      <c r="K18" s="88">
        <f>SUMIFS(Март!G63:G92, Март!D63:D92, 0.4, Март!I63:I92, 1)</f>
        <v>7.7166666668490507</v>
      </c>
      <c r="L18" s="32">
        <f>K18/J18</f>
        <v>1.2861111111415084</v>
      </c>
      <c r="M18" s="125">
        <f t="shared" si="3"/>
        <v>20</v>
      </c>
      <c r="N18" s="115">
        <f t="shared" si="4"/>
        <v>17.883333333651535</v>
      </c>
      <c r="O18" s="21">
        <f t="shared" si="5"/>
        <v>0.89416666668257672</v>
      </c>
    </row>
    <row r="19" spans="1:15" s="28" customFormat="1" ht="15.75" customHeight="1" thickBot="1" x14ac:dyDescent="0.3">
      <c r="A19" s="22"/>
      <c r="B19" s="23"/>
      <c r="C19" s="24" t="s">
        <v>10</v>
      </c>
      <c r="D19" s="33">
        <f>COUNTIFS(Январь!D98:D132, 10,Январь!I98:I132,1)+COUNTIFS(Январь!D98:D132, 6,Январь!I98:I132,1)+COUNTIFS(Январь!D98:D132, 35,Январь!I98:I132,1)+COUNTIFS(Январь!D98:D132, 110,Январь!I98:I132,1)</f>
        <v>11</v>
      </c>
      <c r="E19" s="89">
        <f>SUMIFS(Январь!G98:G132, Январь!D98:D132, 10, Январь!I98:I132, 1)+SUMIFS(Январь!G98:G132, Январь!D98:D132, 6, Январь!I98:I132, 1)+SUMIFS(Январь!G98:G132, Январь!D98:D132, 35, Январь!I98:I132, 1)+SUMIFS(Январь!G98:G132, Январь!D98:D132, 110, Январь!I98:I132, 1)</f>
        <v>43.416666666569654</v>
      </c>
      <c r="F19" s="34">
        <f t="shared" si="0"/>
        <v>3.9469696969608776</v>
      </c>
      <c r="G19" s="110">
        <f>COUNTIFS(Февраль!D78:D106, 10,Февраль!I78:I106,1)+COUNTIFS(Февраль!D78:D106, 6,Февраль!I78:I106,1)+COUNTIFS(Февраль!D78:D106, 35,Февраль!I78:I106,1)+COUNTIFS(Февраль!D78:D106, 110,Февраль!I78:I106,1)</f>
        <v>5</v>
      </c>
      <c r="H19" s="107">
        <f>SUMIFS(Февраль!G78:G106, Февраль!D78:D106, 10, Февраль!I78:I106, 1)+SUMIFS(Февраль!G78:G106, Февраль!D78:D106, 6, Февраль!I78:I106, 1)+SUMIFS(Февраль!G78:G106, Февраль!D78:D106, 35, Февраль!I78:I106, 1)+SUMIFS(Февраль!G78:G106, Февраль!D78:D106, 110, Февраль!I78:I106, 1)</f>
        <v>20.366666666697711</v>
      </c>
      <c r="I19" s="34">
        <f t="shared" si="1"/>
        <v>4.0733333333395425</v>
      </c>
      <c r="J19" s="33">
        <f>COUNTIFS(Март!D63:D92, 10,Март!I63:I92,1)+COUNTIFS(Март!D63:D92, 6,Март!I63:I92,1)+COUNTIFS(Март!D63:D92, 35,Март!I63:I92,1)+COUNTIFS(Март!D63:D92, 110,Март!I63:I92,1)</f>
        <v>10</v>
      </c>
      <c r="K19" s="89">
        <f>SUMIFS(Март!G63:G92, Март!D63:D92, 10, Март!I63:I92, 1)+SUMIFS(Март!G63:G92, Март!D63:D92, 6, Март!I63:I92, 1)+SUMIFS(Март!G63:G92, Март!D63:D92, 35, Март!I63:I92, 1)+SUMIFS(Март!G63:G92, Март!D63:D92, 110, Март!I63:I92, 1)</f>
        <v>30.600000000034925</v>
      </c>
      <c r="L19" s="34">
        <f t="shared" si="2"/>
        <v>3.0600000000034924</v>
      </c>
      <c r="M19" s="132">
        <f t="shared" si="3"/>
        <v>26</v>
      </c>
      <c r="N19" s="122">
        <f t="shared" si="4"/>
        <v>94.383333333302289</v>
      </c>
      <c r="O19" s="123">
        <f t="shared" si="5"/>
        <v>3.630128205127011</v>
      </c>
    </row>
    <row r="20" spans="1:15" s="90" customFormat="1" ht="15.75" x14ac:dyDescent="0.25">
      <c r="A20" s="7">
        <v>6</v>
      </c>
      <c r="B20" s="137" t="s">
        <v>42</v>
      </c>
      <c r="C20" s="8"/>
      <c r="D20" s="152">
        <f>COUNTIF(Январь!I133:I149,1)</f>
        <v>10</v>
      </c>
      <c r="E20" s="153">
        <f>SUMIF(Январь!I133:I149, 1, Январь!G133:G149)</f>
        <v>24.016666666720994</v>
      </c>
      <c r="F20" s="154">
        <f t="shared" si="0"/>
        <v>2.4016666666720994</v>
      </c>
      <c r="G20" s="175">
        <f>COUNTIF(Февраль!I107:I133,1)</f>
        <v>11</v>
      </c>
      <c r="H20" s="176">
        <f>SUMIF(Февраль!I107:I133, 1, Февраль!G107:G133)</f>
        <v>38.116666666755918</v>
      </c>
      <c r="I20" s="154">
        <f t="shared" si="1"/>
        <v>3.4651515151596288</v>
      </c>
      <c r="J20" s="152">
        <f>COUNTIF(Март!I93:I106,1)</f>
        <v>9</v>
      </c>
      <c r="K20" s="153">
        <f>SUMIF(Март!I93:I106, 1, Март!G93:G106)</f>
        <v>17.06666666676756</v>
      </c>
      <c r="L20" s="154">
        <f t="shared" si="2"/>
        <v>1.8962962963075067</v>
      </c>
      <c r="M20" s="166">
        <f t="shared" si="3"/>
        <v>30</v>
      </c>
      <c r="N20" s="167">
        <f t="shared" si="4"/>
        <v>79.200000000244472</v>
      </c>
      <c r="O20" s="168">
        <f t="shared" si="5"/>
        <v>2.6400000000081492</v>
      </c>
    </row>
    <row r="21" spans="1:15" s="90" customFormat="1" ht="15" customHeight="1" x14ac:dyDescent="0.25">
      <c r="A21" s="9"/>
      <c r="B21" s="10" t="s">
        <v>8</v>
      </c>
      <c r="C21" s="11" t="s">
        <v>9</v>
      </c>
      <c r="D21" s="155">
        <f>COUNTIFS(Январь!D133:D149, 0.4,Январь!I133:I149,1)</f>
        <v>0</v>
      </c>
      <c r="E21" s="156">
        <f>SUMIFS(Январь!G133:G149, Январь!D133:D149, 0.4, Январь!I133:I149, 1)</f>
        <v>0</v>
      </c>
      <c r="F21" s="157"/>
      <c r="G21" s="177">
        <f>COUNTIFS(Февраль!D107:D133, 0.4,Февраль!I107:I133,1)</f>
        <v>1</v>
      </c>
      <c r="H21" s="178">
        <f>SUMIFS(Февраль!G107:G133, Февраль!D107:D133, 0.4, Февраль!I107:I133, 1)</f>
        <v>6.5666666667675599</v>
      </c>
      <c r="I21" s="157">
        <f>H21/G21</f>
        <v>6.5666666667675599</v>
      </c>
      <c r="J21" s="155">
        <f>COUNTIFS(Март!D93:D106, 0.4,Март!I93:I106,1)</f>
        <v>0</v>
      </c>
      <c r="K21" s="156">
        <f>SUMIFS(Март!G93:G106, Март!D93:D106, 0.4, Март!I93:I106, 1)</f>
        <v>0</v>
      </c>
      <c r="L21" s="157"/>
      <c r="M21" s="169">
        <f t="shared" si="3"/>
        <v>1</v>
      </c>
      <c r="N21" s="170">
        <f t="shared" si="4"/>
        <v>6.5666666667675599</v>
      </c>
      <c r="O21" s="171">
        <f t="shared" si="5"/>
        <v>6.5666666667675599</v>
      </c>
    </row>
    <row r="22" spans="1:15" s="90" customFormat="1" ht="15.75" customHeight="1" thickBot="1" x14ac:dyDescent="0.3">
      <c r="A22" s="12"/>
      <c r="B22" s="13"/>
      <c r="C22" s="14" t="s">
        <v>10</v>
      </c>
      <c r="D22" s="158">
        <f>COUNTIFS(Январь!D133:D149, 10,Январь!I133:I149,1)+COUNTIFS(Январь!D133:D149, 6,Январь!I133:I149,1)+COUNTIFS(Январь!D133:D149, 35,Январь!I133:I149,1)+COUNTIFS(Январь!D133:D149, 110,Январь!I133:I149,1)</f>
        <v>10</v>
      </c>
      <c r="E22" s="159">
        <f>SUMIFS(Январь!G133:G149, Январь!D133:D149, 10, Январь!I133:I149, 1)+SUMIFS(Январь!G133:G149, Январь!D133:D149, 6, Январь!I133:I149, 1)+SUMIFS(Январь!G133:G149, Январь!D133:D149, 35, Январь!I133:I149, 1)+SUMIFS(Январь!G133:G149, Январь!D133:D149, 110, Январь!I133:I149, 1)</f>
        <v>24.016666666720994</v>
      </c>
      <c r="F22" s="160">
        <f t="shared" si="0"/>
        <v>2.4016666666720994</v>
      </c>
      <c r="G22" s="179">
        <f>COUNTIFS(Февраль!D107:D133, 10,Февраль!I107:I133,1)+COUNTIFS(Февраль!D107:D133, 6,Февраль!I107:I133,1)+COUNTIFS(Февраль!D107:D133, 35,Февраль!I107:I133,1)+COUNTIFS(Февраль!D107:D133, 110,Февраль!I107:I133,1)</f>
        <v>10</v>
      </c>
      <c r="H22" s="180">
        <f>SUMIFS(Февраль!G107:G133, Февраль!D107:D133, 10, Февраль!I107:I133, 1)+SUMIFS(Февраль!G107:G133, Февраль!D107:D133, 6, Февраль!I107:I133, 1)+SUMIFS(Февраль!G107:G133, Февраль!D107:D133, 35, Февраль!I107:I133, 1)+SUMIFS(Февраль!G107:G133, Февраль!D107:D133, 110, Февраль!I107:I133, 1)</f>
        <v>31.549999999988358</v>
      </c>
      <c r="I22" s="160">
        <f t="shared" si="1"/>
        <v>3.1549999999988358</v>
      </c>
      <c r="J22" s="158">
        <f>COUNTIFS(Март!D93:D106, 10,Март!I93:I106,1)+COUNTIFS(Март!D93:D106, 6,Март!I93:I106,1)+COUNTIFS(Март!D93:D106, 35,Март!I93:I106,1)+COUNTIFS(Март!D93:D106, 110,Март!I93:I106,1)</f>
        <v>9</v>
      </c>
      <c r="K22" s="159">
        <f>SUMIFS(Март!G93:G106, Март!D93:D106, 10, Март!I93:I106, 1)+SUMIFS(Март!G93:G106, Март!D93:D106, 6, Март!I93:I106, 1)+SUMIFS(Март!G93:G106, Март!D93:D106, 35, Март!I93:I106, 1)+SUMIFS(Март!G93:G106, Март!D93:D106, 110, Март!I93:I106, 1)</f>
        <v>17.06666666676756</v>
      </c>
      <c r="L22" s="160">
        <f t="shared" si="2"/>
        <v>1.8962962963075067</v>
      </c>
      <c r="M22" s="172">
        <f t="shared" si="3"/>
        <v>29</v>
      </c>
      <c r="N22" s="173">
        <f t="shared" si="4"/>
        <v>72.633333333476912</v>
      </c>
      <c r="O22" s="174">
        <f t="shared" si="5"/>
        <v>2.5045977011543763</v>
      </c>
    </row>
    <row r="23" spans="1:15" ht="28.5" x14ac:dyDescent="0.25">
      <c r="A23" s="35"/>
      <c r="B23" s="36" t="s">
        <v>11</v>
      </c>
      <c r="C23" s="93"/>
      <c r="D23" s="142">
        <f>D5+D8+D11+D14+D17+D20</f>
        <v>73</v>
      </c>
      <c r="E23" s="143">
        <f t="shared" ref="E23" si="6">E5+E8+E11+E14+E17+E20</f>
        <v>194.31666666618548</v>
      </c>
      <c r="F23" s="149">
        <f t="shared" si="0"/>
        <v>2.6618721461121297</v>
      </c>
      <c r="G23" s="142">
        <f>G5+G8+G11+G14+G17+G20</f>
        <v>50</v>
      </c>
      <c r="H23" s="143">
        <f t="shared" ref="H23:H25" si="7">H5+H8+H11+H14+H17+H20</f>
        <v>178.53333333379123</v>
      </c>
      <c r="I23" s="149">
        <f t="shared" ref="I23:I25" si="8">H23/G23</f>
        <v>3.5706666666758249</v>
      </c>
      <c r="J23" s="142">
        <f>J5+J8+J11+J14+J17+J20</f>
        <v>61</v>
      </c>
      <c r="K23" s="143">
        <f t="shared" ref="K23:K25" si="9">K5+K8+K11+K14+K17+K20</f>
        <v>189.28333333338378</v>
      </c>
      <c r="L23" s="149">
        <f t="shared" ref="L23:L25" si="10">K23/J23</f>
        <v>3.1030054644817011</v>
      </c>
      <c r="M23" s="142">
        <f>M5+M8+M11+M14+M17+M20</f>
        <v>184</v>
      </c>
      <c r="N23" s="143">
        <f t="shared" ref="N23:N25" si="11">N5+N8+N11+N14+N17+N20</f>
        <v>562.1333333333605</v>
      </c>
      <c r="O23" s="149">
        <f t="shared" ref="O23:O25" si="12">N23/M23</f>
        <v>3.0550724637682634</v>
      </c>
    </row>
    <row r="24" spans="1:15" ht="15" customHeight="1" x14ac:dyDescent="0.25">
      <c r="A24" s="37"/>
      <c r="B24" s="38" t="s">
        <v>8</v>
      </c>
      <c r="C24" s="94" t="s">
        <v>9</v>
      </c>
      <c r="D24" s="144">
        <f>D6+D9+D12+D15+D18+D21</f>
        <v>11</v>
      </c>
      <c r="E24" s="145">
        <f t="shared" ref="E24" si="13">E6+E9+E12+E15+E18+E21</f>
        <v>8.4166666670353152</v>
      </c>
      <c r="F24" s="150">
        <f t="shared" ref="F24:F25" si="14">E24/D24</f>
        <v>0.76515151518502866</v>
      </c>
      <c r="G24" s="144">
        <f>G6+G9+G12+G15+G18+G21</f>
        <v>7</v>
      </c>
      <c r="H24" s="145">
        <f t="shared" si="7"/>
        <v>32.766666666779201</v>
      </c>
      <c r="I24" s="150">
        <f t="shared" si="8"/>
        <v>4.6809523809684572</v>
      </c>
      <c r="J24" s="144">
        <f>J6+J9+J12+J15+J18+J21</f>
        <v>8</v>
      </c>
      <c r="K24" s="145">
        <f t="shared" si="9"/>
        <v>11.716666666790843</v>
      </c>
      <c r="L24" s="150">
        <f t="shared" si="10"/>
        <v>1.4645833333488554</v>
      </c>
      <c r="M24" s="144">
        <f>M6+M9+M12+M15+M18+M21</f>
        <v>26</v>
      </c>
      <c r="N24" s="145">
        <f t="shared" si="11"/>
        <v>52.90000000060536</v>
      </c>
      <c r="O24" s="150">
        <f t="shared" si="12"/>
        <v>2.0346153846386676</v>
      </c>
    </row>
    <row r="25" spans="1:15" ht="15.75" customHeight="1" thickBot="1" x14ac:dyDescent="0.3">
      <c r="A25" s="40"/>
      <c r="B25" s="41"/>
      <c r="C25" s="95" t="s">
        <v>10</v>
      </c>
      <c r="D25" s="146">
        <f>D7+D10+D13+D16+D19+D22</f>
        <v>62</v>
      </c>
      <c r="E25" s="147">
        <f t="shared" ref="E25" si="15">E7+E10+E13+E16+E19+E22</f>
        <v>185.89999999915017</v>
      </c>
      <c r="F25" s="151">
        <f t="shared" si="14"/>
        <v>2.9983870967604864</v>
      </c>
      <c r="G25" s="146">
        <f>G7+G10+G13+G16+G19+G22</f>
        <v>43</v>
      </c>
      <c r="H25" s="147">
        <f t="shared" si="7"/>
        <v>145.76666666701203</v>
      </c>
      <c r="I25" s="151">
        <f t="shared" si="8"/>
        <v>3.3899224806281869</v>
      </c>
      <c r="J25" s="146">
        <f>J7+J10+J13+J16+J19+J22</f>
        <v>53</v>
      </c>
      <c r="K25" s="147">
        <f t="shared" si="9"/>
        <v>177.56666666659294</v>
      </c>
      <c r="L25" s="151">
        <f t="shared" si="10"/>
        <v>3.350314465407414</v>
      </c>
      <c r="M25" s="146">
        <f>M7+M10+M13+M16+M19+M22</f>
        <v>158</v>
      </c>
      <c r="N25" s="147">
        <f t="shared" si="11"/>
        <v>509.23333333275514</v>
      </c>
      <c r="O25" s="151">
        <f t="shared" si="12"/>
        <v>3.2229957805870577</v>
      </c>
    </row>
    <row r="28" spans="1:15" x14ac:dyDescent="0.25">
      <c r="D28" s="28"/>
      <c r="E28" s="28"/>
      <c r="F28" s="28"/>
      <c r="G28" s="28"/>
      <c r="H28" s="28"/>
      <c r="I28" s="28"/>
      <c r="J28" s="28"/>
      <c r="K28" s="28"/>
      <c r="L28" s="28"/>
    </row>
    <row r="29" spans="1:15" x14ac:dyDescent="0.25">
      <c r="D29" s="28"/>
      <c r="E29" s="28"/>
      <c r="F29" s="28"/>
      <c r="G29" s="28"/>
      <c r="H29" s="28"/>
      <c r="I29" s="28"/>
      <c r="J29" s="28"/>
      <c r="K29" s="28"/>
      <c r="L29" s="28"/>
    </row>
    <row r="30" spans="1:15" x14ac:dyDescent="0.25">
      <c r="D30" s="28"/>
      <c r="E30" s="28"/>
      <c r="F30" s="28"/>
      <c r="G30" s="28"/>
      <c r="H30" s="28"/>
      <c r="I30" s="28"/>
      <c r="J30" s="28"/>
      <c r="K30" s="28"/>
      <c r="L30" s="28"/>
    </row>
    <row r="31" spans="1:15" x14ac:dyDescent="0.25">
      <c r="D31" s="28"/>
      <c r="E31" s="28"/>
      <c r="F31" s="28"/>
      <c r="G31" s="28"/>
      <c r="H31" s="28"/>
      <c r="I31" s="28"/>
      <c r="J31" s="28"/>
      <c r="K31" s="28"/>
      <c r="L31" s="28"/>
    </row>
    <row r="32" spans="1:15" x14ac:dyDescent="0.25">
      <c r="D32" s="28"/>
      <c r="E32" s="28"/>
      <c r="F32" s="28"/>
      <c r="G32" s="28"/>
      <c r="H32" s="28"/>
      <c r="I32" s="28"/>
      <c r="J32" s="28"/>
      <c r="K32" s="28"/>
      <c r="L32" s="28"/>
    </row>
    <row r="33" spans="4:12" x14ac:dyDescent="0.25">
      <c r="D33" s="28"/>
      <c r="E33" s="28"/>
      <c r="F33" s="28"/>
      <c r="G33" s="28"/>
      <c r="H33" s="28"/>
      <c r="I33" s="28"/>
      <c r="J33" s="28"/>
      <c r="K33" s="28"/>
      <c r="L33" s="28"/>
    </row>
    <row r="34" spans="4:12" x14ac:dyDescent="0.25">
      <c r="D34" s="28"/>
      <c r="E34" s="28"/>
      <c r="F34" s="28"/>
      <c r="G34" s="28"/>
      <c r="H34" s="28"/>
      <c r="I34" s="28"/>
      <c r="J34" s="28"/>
      <c r="K34" s="28"/>
      <c r="L34" s="28"/>
    </row>
    <row r="35" spans="4:12" x14ac:dyDescent="0.25">
      <c r="D35" s="28"/>
      <c r="E35" s="28"/>
      <c r="F35" s="28"/>
      <c r="G35" s="28"/>
      <c r="H35" s="28"/>
      <c r="I35" s="28"/>
      <c r="J35" s="28"/>
      <c r="K35" s="28"/>
      <c r="L35" s="28"/>
    </row>
    <row r="36" spans="4:12" x14ac:dyDescent="0.25">
      <c r="D36" s="28"/>
      <c r="E36" s="28"/>
      <c r="F36" s="28"/>
      <c r="G36" s="28"/>
      <c r="H36" s="28"/>
      <c r="I36" s="28"/>
      <c r="J36" s="28"/>
      <c r="K36" s="28"/>
      <c r="L36" s="28"/>
    </row>
    <row r="37" spans="4:12" x14ac:dyDescent="0.25">
      <c r="D37" s="28"/>
      <c r="E37" s="28"/>
      <c r="F37" s="28"/>
      <c r="G37" s="28"/>
      <c r="H37" s="28"/>
      <c r="I37" s="28"/>
      <c r="J37" s="28"/>
      <c r="K37" s="28"/>
      <c r="L37" s="28"/>
    </row>
    <row r="38" spans="4:12" x14ac:dyDescent="0.25">
      <c r="J38" s="28"/>
      <c r="K38" s="28"/>
      <c r="L38" s="28"/>
    </row>
  </sheetData>
  <mergeCells count="7">
    <mergeCell ref="M2:O3"/>
    <mergeCell ref="A2:A4"/>
    <mergeCell ref="B2:B4"/>
    <mergeCell ref="C2:C4"/>
    <mergeCell ref="D2:F3"/>
    <mergeCell ref="G2:I3"/>
    <mergeCell ref="J2:L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Для недоотпуска (мин)</vt:lpstr>
      <vt:lpstr>Для недоотпуска (час)</vt:lpstr>
      <vt:lpstr>Январь</vt:lpstr>
      <vt:lpstr>Февраль</vt:lpstr>
      <vt:lpstr>Март</vt:lpstr>
      <vt:lpstr>1 квартал (1;0)</vt:lpstr>
      <vt:lpstr>1 квартал (1)</vt:lpstr>
      <vt:lpstr>'1 квартал (1)'!Область_печати</vt:lpstr>
      <vt:lpstr>'1 квартал (1;0)'!Область_печати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>ОАО "ЛОЭСК"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Андрей Валерьевич</dc:creator>
  <cp:lastModifiedBy>Смирнов Андрей Валерьевич</cp:lastModifiedBy>
  <cp:lastPrinted>2016-07-25T12:22:46Z</cp:lastPrinted>
  <dcterms:created xsi:type="dcterms:W3CDTF">2016-04-29T12:50:31Z</dcterms:created>
  <dcterms:modified xsi:type="dcterms:W3CDTF">2019-04-15T08:55:34Z</dcterms:modified>
</cp:coreProperties>
</file>